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tesr/Documents/ATLAS SLHC/ATLAS_Pixels/RadiationLength/"/>
    </mc:Choice>
  </mc:AlternateContent>
  <bookViews>
    <workbookView xWindow="31320" yWindow="4740" windowWidth="29680" windowHeight="14180" tabRatio="500"/>
  </bookViews>
  <sheets>
    <sheet name="Results" sheetId="9" r:id="rId1"/>
    <sheet name="Module X0" sheetId="2" r:id="rId2"/>
    <sheet name="Bumps" sheetId="8" r:id="rId3"/>
    <sheet name="Connector" sheetId="4" r:id="rId4"/>
    <sheet name="ROIC" sheetId="5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2" l="1"/>
  <c r="F17" i="2"/>
  <c r="F11" i="2"/>
  <c r="E51" i="2"/>
  <c r="AA4" i="9"/>
  <c r="AA3" i="9"/>
  <c r="AB3" i="9"/>
  <c r="AA5" i="9"/>
  <c r="AB5" i="9"/>
  <c r="X3" i="9"/>
  <c r="F12" i="2"/>
  <c r="H5" i="2"/>
  <c r="M5" i="2"/>
  <c r="C19" i="5"/>
  <c r="H19" i="5"/>
  <c r="H24" i="5"/>
  <c r="M6" i="2"/>
  <c r="H12" i="2"/>
  <c r="C22" i="5"/>
  <c r="AA7" i="9"/>
  <c r="AA6" i="9"/>
  <c r="G5" i="9"/>
  <c r="F23" i="2"/>
  <c r="H23" i="2"/>
  <c r="M23" i="2"/>
  <c r="H27" i="2"/>
  <c r="M27" i="2"/>
  <c r="N18" i="2"/>
  <c r="M12" i="2"/>
  <c r="H11" i="2"/>
  <c r="M11" i="2"/>
  <c r="H17" i="2"/>
  <c r="M17" i="2"/>
  <c r="N8" i="2"/>
  <c r="L5" i="2"/>
  <c r="H6" i="2"/>
  <c r="L6" i="2"/>
  <c r="L12" i="2"/>
  <c r="G52" i="2"/>
  <c r="I52" i="2"/>
  <c r="L52" i="2"/>
  <c r="L11" i="2"/>
  <c r="L23" i="2"/>
  <c r="L17" i="2"/>
  <c r="L27" i="2"/>
  <c r="L2" i="2"/>
  <c r="F70" i="2"/>
  <c r="D14" i="4"/>
  <c r="B22" i="4"/>
  <c r="B21" i="4"/>
  <c r="E72" i="2"/>
  <c r="E71" i="2"/>
  <c r="E70" i="2"/>
  <c r="I44" i="2"/>
  <c r="L44" i="2"/>
  <c r="L56" i="2"/>
  <c r="F51" i="2"/>
  <c r="I51" i="2"/>
  <c r="J51" i="2"/>
  <c r="M51" i="2"/>
  <c r="H25" i="5"/>
  <c r="J37" i="2"/>
  <c r="M37" i="2"/>
  <c r="M52" i="2"/>
  <c r="M2" i="2"/>
  <c r="O18" i="2"/>
  <c r="E22" i="2"/>
  <c r="E21" i="2"/>
  <c r="F21" i="2"/>
  <c r="C40" i="2"/>
  <c r="H40" i="2"/>
  <c r="L40" i="2"/>
  <c r="D4" i="2"/>
  <c r="C4" i="2"/>
  <c r="E4" i="2"/>
  <c r="M40" i="2"/>
  <c r="D6" i="2"/>
  <c r="C6" i="2"/>
  <c r="E6" i="2"/>
  <c r="D7" i="2"/>
  <c r="C7" i="2"/>
  <c r="E7" i="2"/>
  <c r="F7" i="2"/>
  <c r="H7" i="2"/>
  <c r="L7" i="2"/>
  <c r="E9" i="2"/>
  <c r="F9" i="2"/>
  <c r="H9" i="2"/>
  <c r="L9" i="2"/>
  <c r="E10" i="2"/>
  <c r="F10" i="2"/>
  <c r="H10" i="2"/>
  <c r="L10" i="2"/>
  <c r="E12" i="2"/>
  <c r="E13" i="2"/>
  <c r="F13" i="2"/>
  <c r="H13" i="2"/>
  <c r="L13" i="2"/>
  <c r="F19" i="2"/>
  <c r="H19" i="2"/>
  <c r="L19" i="2"/>
  <c r="F20" i="2"/>
  <c r="H20" i="2"/>
  <c r="L20" i="2"/>
  <c r="E23" i="2"/>
  <c r="E25" i="2"/>
  <c r="F25" i="2"/>
  <c r="H25" i="2"/>
  <c r="L25" i="2"/>
  <c r="E26" i="2"/>
  <c r="F26" i="2"/>
  <c r="H26" i="2"/>
  <c r="L26" i="2"/>
  <c r="E27" i="2"/>
  <c r="F24" i="2"/>
  <c r="D31" i="2"/>
  <c r="C31" i="2"/>
  <c r="F31" i="2"/>
  <c r="H31" i="2"/>
  <c r="L31" i="2"/>
  <c r="H44" i="2"/>
  <c r="G44" i="2"/>
  <c r="H45" i="2"/>
  <c r="G45" i="2"/>
  <c r="I45" i="2"/>
  <c r="L45" i="2"/>
  <c r="H46" i="2"/>
  <c r="G46" i="2"/>
  <c r="I46" i="2"/>
  <c r="L46" i="2"/>
  <c r="G47" i="2"/>
  <c r="I47" i="2"/>
  <c r="L47" i="2"/>
  <c r="G48" i="2"/>
  <c r="I48" i="2"/>
  <c r="L48" i="2"/>
  <c r="H49" i="2"/>
  <c r="G49" i="2"/>
  <c r="I49" i="2"/>
  <c r="L49" i="2"/>
  <c r="G50" i="2"/>
  <c r="I50" i="2"/>
  <c r="L50" i="2"/>
  <c r="H53" i="2"/>
  <c r="G53" i="2"/>
  <c r="I53" i="2"/>
  <c r="L53" i="2"/>
  <c r="I54" i="2"/>
  <c r="L54" i="2"/>
  <c r="H21" i="2"/>
  <c r="L21" i="2"/>
  <c r="F22" i="2"/>
  <c r="H22" i="2"/>
  <c r="L22" i="2"/>
  <c r="D5" i="2"/>
  <c r="C5" i="2"/>
  <c r="E5" i="2"/>
  <c r="F14" i="2"/>
  <c r="H14" i="2"/>
  <c r="L14" i="2"/>
  <c r="E15" i="2"/>
  <c r="F15" i="2"/>
  <c r="H15" i="2"/>
  <c r="L15" i="2"/>
  <c r="E16" i="2"/>
  <c r="F16" i="2"/>
  <c r="H16" i="2"/>
  <c r="L16" i="2"/>
  <c r="E24" i="2"/>
  <c r="H24" i="2"/>
  <c r="L24" i="2"/>
  <c r="E30" i="2"/>
  <c r="F30" i="2"/>
  <c r="G30" i="2"/>
  <c r="H30" i="2"/>
  <c r="L30" i="2"/>
  <c r="E33" i="2"/>
  <c r="G33" i="2"/>
  <c r="D33" i="2"/>
  <c r="C33" i="2"/>
  <c r="I33" i="2"/>
  <c r="L33" i="2"/>
  <c r="F34" i="2"/>
  <c r="E34" i="2"/>
  <c r="G34" i="2"/>
  <c r="D34" i="2"/>
  <c r="I34" i="2"/>
  <c r="L34" i="2"/>
  <c r="G35" i="2"/>
  <c r="D35" i="2"/>
  <c r="C35" i="2"/>
  <c r="I35" i="2"/>
  <c r="L35" i="2"/>
  <c r="E37" i="2"/>
  <c r="H37" i="2"/>
  <c r="L37" i="2"/>
  <c r="C54" i="2"/>
  <c r="F2" i="4"/>
  <c r="E2" i="4"/>
  <c r="M13" i="2"/>
  <c r="M15" i="2"/>
  <c r="M16" i="2"/>
  <c r="AB6" i="9"/>
  <c r="AB7" i="9"/>
  <c r="AB4" i="9"/>
  <c r="N5" i="2"/>
  <c r="C4" i="9"/>
  <c r="N6" i="2"/>
  <c r="C5" i="9"/>
  <c r="M9" i="2"/>
  <c r="M10" i="2"/>
  <c r="M14" i="2"/>
  <c r="M25" i="2"/>
  <c r="M21" i="2"/>
  <c r="M22" i="2"/>
  <c r="M19" i="2"/>
  <c r="M20" i="2"/>
  <c r="M24" i="2"/>
  <c r="M26" i="2"/>
  <c r="M31" i="2"/>
  <c r="M30" i="2"/>
  <c r="N28" i="2"/>
  <c r="N38" i="2"/>
  <c r="M44" i="2"/>
  <c r="M45" i="2"/>
  <c r="M46" i="2"/>
  <c r="M47" i="2"/>
  <c r="M48" i="2"/>
  <c r="M49" i="2"/>
  <c r="M50" i="2"/>
  <c r="M53" i="2"/>
  <c r="J54" i="2"/>
  <c r="M54" i="2"/>
  <c r="M33" i="2"/>
  <c r="M34" i="2"/>
  <c r="M35" i="2"/>
  <c r="N32" i="2"/>
  <c r="C6" i="9"/>
  <c r="M7" i="2"/>
  <c r="N7" i="2"/>
  <c r="C8" i="9"/>
  <c r="G6" i="9"/>
  <c r="G10" i="9"/>
  <c r="G15" i="9"/>
  <c r="G7" i="9"/>
  <c r="G8" i="9"/>
  <c r="G9" i="9"/>
  <c r="G11" i="9"/>
  <c r="G12" i="9"/>
  <c r="G14" i="9"/>
  <c r="N36" i="2"/>
  <c r="C9" i="9"/>
  <c r="I12" i="8"/>
  <c r="I11" i="8"/>
  <c r="M11" i="8"/>
  <c r="M12" i="8"/>
  <c r="N11" i="8"/>
  <c r="M8" i="8"/>
  <c r="N8" i="8"/>
  <c r="M3" i="8"/>
  <c r="M4" i="8"/>
  <c r="M5" i="8"/>
  <c r="N3" i="8"/>
  <c r="L11" i="8"/>
  <c r="L12" i="8"/>
  <c r="C12" i="8"/>
  <c r="C11" i="8"/>
  <c r="G12" i="8"/>
  <c r="G11" i="8"/>
  <c r="F12" i="8"/>
  <c r="F11" i="8"/>
  <c r="E12" i="8"/>
  <c r="E11" i="8"/>
  <c r="G8" i="8"/>
  <c r="L8" i="8"/>
  <c r="I8" i="8"/>
  <c r="F8" i="8"/>
  <c r="E8" i="8"/>
  <c r="D8" i="8"/>
  <c r="C8" i="8"/>
  <c r="F4" i="8"/>
  <c r="E3" i="8"/>
  <c r="E4" i="8"/>
  <c r="G4" i="8"/>
  <c r="G5" i="8"/>
  <c r="D4" i="8"/>
  <c r="D5" i="8"/>
  <c r="C5" i="8"/>
  <c r="I5" i="8"/>
  <c r="E5" i="8"/>
  <c r="L5" i="8"/>
  <c r="F5" i="8"/>
  <c r="I4" i="8"/>
  <c r="L4" i="8"/>
  <c r="G3" i="8"/>
  <c r="D3" i="8"/>
  <c r="C3" i="8"/>
  <c r="I3" i="8"/>
  <c r="L3" i="8"/>
  <c r="J6" i="2"/>
  <c r="D17" i="2"/>
  <c r="D11" i="2"/>
  <c r="C17" i="2"/>
  <c r="C11" i="2"/>
  <c r="C23" i="2"/>
  <c r="D23" i="2"/>
  <c r="D27" i="2"/>
  <c r="C27" i="2"/>
  <c r="C13" i="4"/>
  <c r="C15" i="4"/>
  <c r="B13" i="4"/>
  <c r="B15" i="4"/>
  <c r="D15" i="4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20" i="5"/>
  <c r="D13" i="4"/>
  <c r="M15" i="5"/>
  <c r="M14" i="5"/>
  <c r="B17" i="4"/>
  <c r="N15" i="5"/>
  <c r="N14" i="5"/>
  <c r="O11" i="5"/>
  <c r="O10" i="5"/>
  <c r="O9" i="5"/>
  <c r="O6" i="5"/>
  <c r="O5" i="5"/>
  <c r="O4" i="5"/>
  <c r="N10" i="5"/>
  <c r="N11" i="5"/>
  <c r="N9" i="5"/>
  <c r="N5" i="5"/>
  <c r="N6" i="5"/>
  <c r="N4" i="5"/>
  <c r="G22" i="4"/>
  <c r="E5" i="4"/>
  <c r="F5" i="4"/>
  <c r="G5" i="4"/>
  <c r="E4" i="4"/>
  <c r="F4" i="4"/>
  <c r="G4" i="4"/>
  <c r="E3" i="4"/>
  <c r="F3" i="4"/>
  <c r="G3" i="4"/>
  <c r="G2" i="4"/>
  <c r="C53" i="2"/>
  <c r="C52" i="2"/>
  <c r="C50" i="2"/>
  <c r="C49" i="2"/>
  <c r="C48" i="2"/>
  <c r="C47" i="2"/>
  <c r="C46" i="2"/>
  <c r="C45" i="2"/>
  <c r="C44" i="2"/>
  <c r="F35" i="2"/>
  <c r="E35" i="2"/>
  <c r="I3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H26" i="5"/>
  <c r="I19" i="5"/>
  <c r="I20" i="5"/>
  <c r="N41" i="2"/>
  <c r="C7" i="9"/>
  <c r="G3" i="9"/>
  <c r="H5" i="9"/>
  <c r="H6" i="9"/>
  <c r="H7" i="9"/>
  <c r="H8" i="9"/>
  <c r="H9" i="9"/>
  <c r="H10" i="9"/>
  <c r="H11" i="9"/>
  <c r="H12" i="9"/>
  <c r="G13" i="9"/>
  <c r="H13" i="9"/>
  <c r="H14" i="9"/>
  <c r="H15" i="9"/>
  <c r="H17" i="9"/>
  <c r="G17" i="9"/>
  <c r="C11" i="9"/>
  <c r="D4" i="9"/>
  <c r="D5" i="9"/>
  <c r="D6" i="9"/>
  <c r="D7" i="9"/>
  <c r="D8" i="9"/>
  <c r="D11" i="9"/>
  <c r="D9" i="9"/>
  <c r="H3" i="9"/>
  <c r="O28" i="2"/>
  <c r="O32" i="2"/>
  <c r="O8" i="2"/>
  <c r="Q17" i="2"/>
  <c r="O36" i="2"/>
  <c r="O38" i="2"/>
  <c r="O6" i="2"/>
  <c r="O7" i="2"/>
  <c r="O51" i="2"/>
  <c r="O53" i="2"/>
  <c r="O52" i="2"/>
  <c r="O50" i="2"/>
  <c r="O49" i="2"/>
  <c r="O48" i="2"/>
  <c r="O47" i="2"/>
  <c r="O46" i="2"/>
  <c r="O45" i="2"/>
  <c r="O44" i="2"/>
  <c r="O54" i="2"/>
  <c r="O41" i="2"/>
  <c r="O5" i="2"/>
  <c r="Q51" i="2"/>
  <c r="L51" i="2"/>
</calcChain>
</file>

<file path=xl/sharedStrings.xml><?xml version="1.0" encoding="utf-8"?>
<sst xmlns="http://schemas.openxmlformats.org/spreadsheetml/2006/main" count="421" uniqueCount="243">
  <si>
    <t>cm</t>
  </si>
  <si>
    <t>Volume</t>
  </si>
  <si>
    <t>mass</t>
  </si>
  <si>
    <t>Kapton</t>
  </si>
  <si>
    <t>width</t>
  </si>
  <si>
    <t>length</t>
  </si>
  <si>
    <t>FR4</t>
  </si>
  <si>
    <t>Active silicon area</t>
  </si>
  <si>
    <t>Item</t>
  </si>
  <si>
    <t>X</t>
  </si>
  <si>
    <t>Y</t>
  </si>
  <si>
    <t>Area</t>
  </si>
  <si>
    <t>(cm)</t>
  </si>
  <si>
    <t>(cm2)</t>
  </si>
  <si>
    <t>Bumps</t>
  </si>
  <si>
    <t>Thickness</t>
  </si>
  <si>
    <t>(cm3)</t>
  </si>
  <si>
    <t>Density</t>
  </si>
  <si>
    <t>(g/cm3)</t>
  </si>
  <si>
    <t>Flex kapton</t>
  </si>
  <si>
    <t>Flex CU top</t>
  </si>
  <si>
    <t>Flex Cu bottom</t>
  </si>
  <si>
    <t>Wire bonds</t>
  </si>
  <si>
    <t>% coverage</t>
  </si>
  <si>
    <t xml:space="preserve">Flex tab </t>
  </si>
  <si>
    <t>Flex Body</t>
  </si>
  <si>
    <t>Connector</t>
  </si>
  <si>
    <t>SMD components</t>
  </si>
  <si>
    <t>Nr</t>
  </si>
  <si>
    <t>Q-ty</t>
  </si>
  <si>
    <t>Value</t>
  </si>
  <si>
    <t>Size</t>
  </si>
  <si>
    <t>Farnell Order Nr</t>
  </si>
  <si>
    <t>Mouser Order Nr</t>
  </si>
  <si>
    <t>1 Ohm</t>
  </si>
  <si>
    <t>0402</t>
  </si>
  <si>
    <t xml:space="preserve">71-CRCW0402-1-E3 </t>
  </si>
  <si>
    <t>120 Ohm</t>
  </si>
  <si>
    <t>4x0201</t>
  </si>
  <si>
    <t>667-EXB-18V121JX</t>
  </si>
  <si>
    <t>1 kOhm</t>
  </si>
  <si>
    <t>667-EXB-18V102JX</t>
  </si>
  <si>
    <t>71-CRCW0402-1.0K-E3</t>
  </si>
  <si>
    <t>0805</t>
  </si>
  <si>
    <t>71-CRCW0805-1.0K-E3</t>
  </si>
  <si>
    <t>2 kOhm</t>
  </si>
  <si>
    <t>71-CRCW0402-2.0K-E3</t>
  </si>
  <si>
    <t>NTC 10K</t>
  </si>
  <si>
    <t>667-ERT-J0EG103FA</t>
  </si>
  <si>
    <t>22 nF / 1kV</t>
  </si>
  <si>
    <t>80-C1206V223KDR</t>
  </si>
  <si>
    <t>2.2uF</t>
  </si>
  <si>
    <t>81-GRM155R60J225ME5D</t>
  </si>
  <si>
    <t>Vias</t>
  </si>
  <si>
    <t>Cu pillar</t>
  </si>
  <si>
    <t>Solder top</t>
  </si>
  <si>
    <t>Diameter</t>
  </si>
  <si>
    <t>Height</t>
  </si>
  <si>
    <t>X0</t>
  </si>
  <si>
    <t>Material</t>
  </si>
  <si>
    <t>Si</t>
  </si>
  <si>
    <t>Silicon</t>
  </si>
  <si>
    <t>Solder mask</t>
  </si>
  <si>
    <t>Copper</t>
  </si>
  <si>
    <t>Total number</t>
  </si>
  <si>
    <t>Number in x/die</t>
  </si>
  <si>
    <t>Number in y/die</t>
  </si>
  <si>
    <t>Flex to silicon adhesive</t>
  </si>
  <si>
    <t>Epolite</t>
  </si>
  <si>
    <t>Number</t>
  </si>
  <si>
    <t>Cu</t>
  </si>
  <si>
    <t>Total</t>
  </si>
  <si>
    <t>Thickness (um)</t>
  </si>
  <si>
    <t>Ag (3.5%)</t>
  </si>
  <si>
    <t>Sn (96.5%)</t>
  </si>
  <si>
    <t>% content</t>
  </si>
  <si>
    <t>Flex solder resist top</t>
  </si>
  <si>
    <t>Flex solder resist bottom</t>
  </si>
  <si>
    <t>Gold</t>
  </si>
  <si>
    <t>Nickel</t>
  </si>
  <si>
    <t>%X0</t>
  </si>
  <si>
    <t>ceramic caps 1206</t>
  </si>
  <si>
    <r>
      <t>86% BaTiO</t>
    </r>
    <r>
      <rPr>
        <vertAlign val="subscript"/>
        <sz val="10"/>
        <rFont val="Geneva"/>
        <family val="2"/>
      </rPr>
      <t>3</t>
    </r>
    <r>
      <rPr>
        <sz val="10"/>
        <rFont val="Geneva"/>
        <family val="2"/>
      </rPr>
      <t>, 8% Ni, 6% Sn</t>
    </r>
  </si>
  <si>
    <t>ceramic caps 0603</t>
  </si>
  <si>
    <t>ceramic caps 0402</t>
  </si>
  <si>
    <t>2 cap array ceramic 0405</t>
  </si>
  <si>
    <t>4 cap array ceramic 0508</t>
  </si>
  <si>
    <t>resistors 0402</t>
  </si>
  <si>
    <r>
      <t>86% Al</t>
    </r>
    <r>
      <rPr>
        <vertAlign val="subscript"/>
        <sz val="10"/>
        <rFont val="Geneva"/>
        <family val="2"/>
      </rPr>
      <t>2</t>
    </r>
    <r>
      <rPr>
        <sz val="10"/>
        <rFont val="Geneva"/>
        <family val="2"/>
      </rPr>
      <t>O</t>
    </r>
    <r>
      <rPr>
        <vertAlign val="subscript"/>
        <sz val="10"/>
        <rFont val="Geneva"/>
        <family val="2"/>
      </rPr>
      <t>3</t>
    </r>
    <r>
      <rPr>
        <sz val="10"/>
        <rFont val="Geneva"/>
        <family val="2"/>
      </rPr>
      <t>, 8% Ni, 6% Sn</t>
    </r>
  </si>
  <si>
    <t>resistors 0603</t>
  </si>
  <si>
    <t>Solder Paste</t>
  </si>
  <si>
    <t>part name</t>
  </si>
  <si>
    <t>material</t>
  </si>
  <si>
    <t>thick</t>
  </si>
  <si>
    <t>Wire Bonds</t>
  </si>
  <si>
    <t>AL 99% Si 1%</t>
  </si>
  <si>
    <t>number per die</t>
  </si>
  <si>
    <t>Length</t>
  </si>
  <si>
    <t>% X0 of total</t>
  </si>
  <si>
    <t>SubTotal %X0</t>
  </si>
  <si>
    <t>resistors 0805</t>
  </si>
  <si>
    <t>Volume/item</t>
  </si>
  <si>
    <t>Solder pad area</t>
  </si>
  <si>
    <t>N/A</t>
  </si>
  <si>
    <t>Included the NTC here</t>
  </si>
  <si>
    <t>Silicon Sensor</t>
  </si>
  <si>
    <t>Flex (all parts)</t>
  </si>
  <si>
    <t>Flex breakdown</t>
  </si>
  <si>
    <t>SMD</t>
  </si>
  <si>
    <t>Solder</t>
  </si>
  <si>
    <t>Flex Adhesive</t>
  </si>
  <si>
    <t>Flex body Kapton</t>
  </si>
  <si>
    <t>Flex tab Kapton</t>
  </si>
  <si>
    <t>Solder resist</t>
  </si>
  <si>
    <t>ENIG</t>
  </si>
  <si>
    <t>M1</t>
  </si>
  <si>
    <t>M2</t>
  </si>
  <si>
    <t>M3</t>
  </si>
  <si>
    <t>M4</t>
  </si>
  <si>
    <t>M5</t>
  </si>
  <si>
    <t>M6</t>
  </si>
  <si>
    <t>M7</t>
  </si>
  <si>
    <t>M8</t>
  </si>
  <si>
    <t>Metal</t>
  </si>
  <si>
    <t>Al</t>
  </si>
  <si>
    <t>SiO2</t>
  </si>
  <si>
    <t>mm</t>
  </si>
  <si>
    <t>mm^3</t>
  </si>
  <si>
    <t>mm^2</t>
  </si>
  <si>
    <t>ROIC layers</t>
  </si>
  <si>
    <t>X0 (cm)</t>
  </si>
  <si>
    <t>%metal, rest SiO2</t>
  </si>
  <si>
    <t>Silicon bulk</t>
  </si>
  <si>
    <t>% of Total</t>
  </si>
  <si>
    <t>X0 pure Si</t>
  </si>
  <si>
    <t>X0 of ROIC</t>
  </si>
  <si>
    <t>Total %X0</t>
  </si>
  <si>
    <t>Silicon ROIC (see ROIC tab)</t>
  </si>
  <si>
    <t>Connector Part Number</t>
  </si>
  <si>
    <t>Connector Total Mass [g]</t>
  </si>
  <si>
    <t>Pins Total Mass [g]</t>
  </si>
  <si>
    <t>Pins Total without supporting pins [g]</t>
  </si>
  <si>
    <t>Cu Ratio</t>
  </si>
  <si>
    <t>Plastic Ratio</t>
  </si>
  <si>
    <t>Cu Vs Plasic Ratio</t>
  </si>
  <si>
    <t>AXT640124</t>
  </si>
  <si>
    <t>AXT680124</t>
  </si>
  <si>
    <t>AXT540124</t>
  </si>
  <si>
    <t>AXT580124</t>
  </si>
  <si>
    <t xml:space="preserve">Plastic </t>
  </si>
  <si>
    <t>mass (g)</t>
  </si>
  <si>
    <t>volume (cm3)</t>
  </si>
  <si>
    <t>density (g/cm3)</t>
  </si>
  <si>
    <t>X/X0 %</t>
  </si>
  <si>
    <t>x/X0=X0%</t>
  </si>
  <si>
    <t>density of layer (g/cc)</t>
  </si>
  <si>
    <t>X0*RL (g/cm2)</t>
  </si>
  <si>
    <t>backside</t>
  </si>
  <si>
    <t>Al/Si</t>
  </si>
  <si>
    <t>Cu/Si</t>
  </si>
  <si>
    <t>Effect of SCL</t>
  </si>
  <si>
    <t>3um Cu</t>
  </si>
  <si>
    <t>No SCL</t>
  </si>
  <si>
    <t>5um Al</t>
  </si>
  <si>
    <t>% of No SCL</t>
  </si>
  <si>
    <t>130um Si, 150um total</t>
  </si>
  <si>
    <t>80um Si, 100um total</t>
  </si>
  <si>
    <t>%No SCL 150um ROIC</t>
  </si>
  <si>
    <t>X0 as % Si X0</t>
  </si>
  <si>
    <t>Plastic body is</t>
  </si>
  <si>
    <t xml:space="preserve">LCP resin (UL94V-0) </t>
  </si>
  <si>
    <t>LCP resin is a type of glass fiber material. Therefore using FR4 (61% fibre number) from "Radiation length of the ALICE TRD" by Clemens Adler, 25/1/2006</t>
  </si>
  <si>
    <t>Desnity is upper limit (again taken from the above note)</t>
  </si>
  <si>
    <t>X0 (g/cm2)</t>
  </si>
  <si>
    <t>Density (g/cc)</t>
  </si>
  <si>
    <t>1/X0 = %w_a/X0_a + %w_b/X0_b</t>
  </si>
  <si>
    <t>g/cm2</t>
  </si>
  <si>
    <t>Connector X0=</t>
  </si>
  <si>
    <t>Total connector</t>
  </si>
  <si>
    <t>Xo (cm)</t>
  </si>
  <si>
    <t>Total Volume (cm3)</t>
  </si>
  <si>
    <t>See tab "Connector"</t>
  </si>
  <si>
    <t>used bigger to the two recommended solder openings for feet (0.63 cf 0.51)</t>
  </si>
  <si>
    <t xml:space="preserve">Connector is </t>
  </si>
  <si>
    <t>of solder</t>
  </si>
  <si>
    <t>will reduce is tab removed</t>
  </si>
  <si>
    <t>will redue if connector removed</t>
  </si>
  <si>
    <t>does not include connector</t>
  </si>
  <si>
    <t>Some outstanding questions:</t>
  </si>
  <si>
    <t>Via plating</t>
  </si>
  <si>
    <t>Solder type</t>
  </si>
  <si>
    <t>Solder thickness</t>
  </si>
  <si>
    <t>ROIC (150um)</t>
  </si>
  <si>
    <t>Copper body</t>
  </si>
  <si>
    <t>Copper tab</t>
  </si>
  <si>
    <t>gold flash .1 um</t>
  </si>
  <si>
    <t>nickel plate 3-7 um, use 7um</t>
  </si>
  <si>
    <t>%X/X0</t>
  </si>
  <si>
    <t>ROIC thickness</t>
  </si>
  <si>
    <t>Silicon + BEOL metal &amp; SiO2</t>
  </si>
  <si>
    <t xml:space="preserve">20um remain outside crack stop. </t>
  </si>
  <si>
    <t>MUX chip</t>
  </si>
  <si>
    <t>MUX</t>
  </si>
  <si>
    <t>Sensor (150um)</t>
  </si>
  <si>
    <t>Pad</t>
  </si>
  <si>
    <t>Inner wall</t>
  </si>
  <si>
    <t>Via Diameter</t>
  </si>
  <si>
    <t>Plating Thickness</t>
  </si>
  <si>
    <t>top pad diameter</t>
  </si>
  <si>
    <t>Assumed a cylinder 20um wall, 0.3mm outer diameter, height of kapton+2 layers of Copper</t>
  </si>
  <si>
    <t>Assumed landing pad of 700um diameter, 0.260mm in diameter (300-40), height of 30um</t>
  </si>
  <si>
    <t>Assumed as a cylinder</t>
  </si>
  <si>
    <t>Assumed a dome</t>
  </si>
  <si>
    <t>Indium</t>
  </si>
  <si>
    <t>SnAg solder</t>
  </si>
  <si>
    <t>Assume half sphere</t>
  </si>
  <si>
    <t>Cu Pillar</t>
  </si>
  <si>
    <t>Solder ball</t>
  </si>
  <si>
    <t>Maybe this is not the correct geometry</t>
  </si>
  <si>
    <t>Module radiation length</t>
  </si>
  <si>
    <t>%total %X/X0</t>
  </si>
  <si>
    <t>%total %X/X0 of Flex</t>
  </si>
  <si>
    <t>X0 of solder</t>
  </si>
  <si>
    <t>%</t>
  </si>
  <si>
    <t>Weight</t>
  </si>
  <si>
    <t>Glue</t>
  </si>
  <si>
    <t>Kapton cover layer</t>
  </si>
  <si>
    <t>Adhesive (= Kapton properties)</t>
  </si>
  <si>
    <t>150um ROIC/150um Sensor</t>
  </si>
  <si>
    <t>150um ROIC/200um Sensor</t>
  </si>
  <si>
    <t>400um ROIC/200um Sensor</t>
  </si>
  <si>
    <t>400um ROIC/150um Sensor</t>
  </si>
  <si>
    <t>Module variations</t>
  </si>
  <si>
    <t>% increase over baseline</t>
  </si>
  <si>
    <t>Total Solder</t>
  </si>
  <si>
    <t>96.5% tin, 3% silver, 0.5%Cu</t>
  </si>
  <si>
    <t>Ag (3%)</t>
  </si>
  <si>
    <t>Cu(0.5%)</t>
  </si>
  <si>
    <t>will go if connector removed</t>
  </si>
  <si>
    <t>150um ROIC/150um Sensor/36um Cu</t>
  </si>
  <si>
    <t>resistor array 0201</t>
  </si>
  <si>
    <t>Stiffener: Kapton cover layer</t>
  </si>
  <si>
    <t>Stiffener: Glue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</si>
</sst>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000"/>
    <numFmt numFmtId="166" formatCode="0.0%"/>
    <numFmt numFmtId="167" formatCode="#,##0.000_);[Red]\(#,##0.000\)"/>
    <numFmt numFmtId="168" formatCode="0.00000"/>
    <numFmt numFmtId="169" formatCode="0.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Geneva"/>
    </font>
    <font>
      <sz val="12"/>
      <color rgb="FF000000"/>
      <name val="Calibri"/>
      <family val="2"/>
      <scheme val="minor"/>
    </font>
    <font>
      <sz val="10"/>
      <name val="Geneva"/>
      <family val="2"/>
    </font>
    <font>
      <vertAlign val="subscript"/>
      <sz val="10"/>
      <name val="Geneva"/>
      <family val="2"/>
    </font>
    <font>
      <b/>
      <sz val="10"/>
      <name val="Geneva"/>
      <family val="2"/>
    </font>
    <font>
      <sz val="12"/>
      <name val="Calibri"/>
      <scheme val="minor"/>
    </font>
    <font>
      <sz val="12"/>
      <color rgb="FFFF0000"/>
      <name val="Genev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0" borderId="0" xfId="0" applyFont="1"/>
    <xf numFmtId="0" fontId="0" fillId="2" borderId="1" xfId="0" applyFill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Font="1"/>
    <xf numFmtId="9" fontId="0" fillId="0" borderId="0" xfId="0" applyNumberFormat="1"/>
    <xf numFmtId="166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7" fontId="0" fillId="0" borderId="0" xfId="35" applyNumberFormat="1" applyFont="1" applyAlignment="1">
      <alignment horizontal="center"/>
    </xf>
    <xf numFmtId="0" fontId="8" fillId="0" borderId="0" xfId="0" applyFont="1" applyBorder="1"/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0" fillId="0" borderId="0" xfId="0" applyNumberFormat="1"/>
    <xf numFmtId="166" fontId="5" fillId="0" borderId="0" xfId="0" applyNumberFormat="1" applyFont="1"/>
    <xf numFmtId="2" fontId="5" fillId="0" borderId="0" xfId="0" applyNumberFormat="1" applyFont="1"/>
    <xf numFmtId="0" fontId="4" fillId="0" borderId="1" xfId="0" applyFont="1" applyBorder="1"/>
    <xf numFmtId="1" fontId="0" fillId="0" borderId="0" xfId="0" applyNumberFormat="1" applyAlignment="1">
      <alignment horizontal="right"/>
    </xf>
    <xf numFmtId="0" fontId="11" fillId="0" borderId="0" xfId="0" applyFont="1" applyAlignment="1">
      <alignment horizontal="center"/>
    </xf>
    <xf numFmtId="169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0" xfId="0" applyFont="1"/>
    <xf numFmtId="165" fontId="4" fillId="0" borderId="0" xfId="0" applyNumberFormat="1" applyFont="1"/>
    <xf numFmtId="0" fontId="12" fillId="0" borderId="0" xfId="0" applyFont="1"/>
    <xf numFmtId="0" fontId="0" fillId="2" borderId="0" xfId="0" applyFill="1"/>
    <xf numFmtId="0" fontId="0" fillId="0" borderId="0" xfId="0" applyFill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165" fontId="5" fillId="0" borderId="0" xfId="0" applyNumberFormat="1" applyFont="1"/>
    <xf numFmtId="166" fontId="0" fillId="0" borderId="6" xfId="0" applyNumberFormat="1" applyBorder="1"/>
    <xf numFmtId="166" fontId="5" fillId="0" borderId="9" xfId="0" applyNumberFormat="1" applyFont="1" applyBorder="1"/>
    <xf numFmtId="0" fontId="0" fillId="0" borderId="2" xfId="0" applyBorder="1"/>
    <xf numFmtId="169" fontId="0" fillId="0" borderId="0" xfId="0" applyNumberFormat="1" applyBorder="1"/>
    <xf numFmtId="169" fontId="5" fillId="0" borderId="8" xfId="0" applyNumberFormat="1" applyFont="1" applyBorder="1"/>
    <xf numFmtId="169" fontId="0" fillId="0" borderId="3" xfId="0" applyNumberFormat="1" applyBorder="1"/>
    <xf numFmtId="169" fontId="5" fillId="0" borderId="6" xfId="0" applyNumberFormat="1" applyFont="1" applyBorder="1"/>
    <xf numFmtId="169" fontId="5" fillId="0" borderId="9" xfId="0" applyNumberFormat="1" applyFont="1" applyBorder="1"/>
    <xf numFmtId="0" fontId="0" fillId="0" borderId="13" xfId="0" applyBorder="1"/>
    <xf numFmtId="0" fontId="0" fillId="0" borderId="10" xfId="0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9" xfId="0" applyNumberFormat="1" applyBorder="1"/>
    <xf numFmtId="169" fontId="5" fillId="0" borderId="4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348">
    <cellStyle name="Comma" xfId="3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%X/X0</a:t>
            </a:r>
          </a:p>
          <a:p>
            <a:pPr>
              <a:defRPr/>
            </a:pPr>
            <a:r>
              <a:rPr lang="en-US"/>
              <a:t>Normalised to Silicon active area</a:t>
            </a:r>
          </a:p>
          <a:p>
            <a:pPr>
              <a:defRPr/>
            </a:pPr>
            <a:r>
              <a:rPr lang="en-US"/>
              <a:t>No SCL, 150um sensor edge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Results!$B$4:$C$9</c:f>
              <c:multiLvlStrCache>
                <c:ptCount val="6"/>
                <c:lvl>
                  <c:pt idx="0">
                    <c:v>0.168</c:v>
                  </c:pt>
                  <c:pt idx="1">
                    <c:v>0.193</c:v>
                  </c:pt>
                  <c:pt idx="2">
                    <c:v>0.030</c:v>
                  </c:pt>
                  <c:pt idx="3">
                    <c:v>0.280</c:v>
                  </c:pt>
                  <c:pt idx="4">
                    <c:v>0.014</c:v>
                  </c:pt>
                  <c:pt idx="5">
                    <c:v>0.003</c:v>
                  </c:pt>
                </c:lvl>
                <c:lvl>
                  <c:pt idx="0">
                    <c:v>Sensor (150um)</c:v>
                  </c:pt>
                  <c:pt idx="1">
                    <c:v>ROIC (150um)</c:v>
                  </c:pt>
                  <c:pt idx="2">
                    <c:v>Bumps</c:v>
                  </c:pt>
                  <c:pt idx="3">
                    <c:v>Flex (all parts)</c:v>
                  </c:pt>
                  <c:pt idx="4">
                    <c:v>Flex Adhesive</c:v>
                  </c:pt>
                  <c:pt idx="5">
                    <c:v>MUX</c:v>
                  </c:pt>
                </c:lvl>
              </c:multiLvlStrCache>
            </c:multiLvlStrRef>
          </c:cat>
          <c:val>
            <c:numRef>
              <c:f>Results!$D$4:$D$9</c:f>
              <c:numCache>
                <c:formatCode>0.0%</c:formatCode>
                <c:ptCount val="6"/>
                <c:pt idx="0">
                  <c:v>0.245682656057853</c:v>
                </c:pt>
                <c:pt idx="1">
                  <c:v>0.281354246138697</c:v>
                </c:pt>
                <c:pt idx="2">
                  <c:v>0.0431906138070642</c:v>
                </c:pt>
                <c:pt idx="3">
                  <c:v>0.40871143739384</c:v>
                </c:pt>
                <c:pt idx="4">
                  <c:v>0.0210610466025457</c:v>
                </c:pt>
                <c:pt idx="5">
                  <c:v>0.00464007797487092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Results!$B$4:$C$9</c:f>
              <c:multiLvlStrCache>
                <c:ptCount val="6"/>
                <c:lvl>
                  <c:pt idx="0">
                    <c:v>0.168</c:v>
                  </c:pt>
                  <c:pt idx="1">
                    <c:v>0.193</c:v>
                  </c:pt>
                  <c:pt idx="2">
                    <c:v>0.030</c:v>
                  </c:pt>
                  <c:pt idx="3">
                    <c:v>0.280</c:v>
                  </c:pt>
                  <c:pt idx="4">
                    <c:v>0.014</c:v>
                  </c:pt>
                  <c:pt idx="5">
                    <c:v>0.003</c:v>
                  </c:pt>
                </c:lvl>
                <c:lvl>
                  <c:pt idx="0">
                    <c:v>Sensor (150um)</c:v>
                  </c:pt>
                  <c:pt idx="1">
                    <c:v>ROIC (150um)</c:v>
                  </c:pt>
                  <c:pt idx="2">
                    <c:v>Bumps</c:v>
                  </c:pt>
                  <c:pt idx="3">
                    <c:v>Flex (all parts)</c:v>
                  </c:pt>
                  <c:pt idx="4">
                    <c:v>Flex Adhesive</c:v>
                  </c:pt>
                  <c:pt idx="5">
                    <c:v>MUX</c:v>
                  </c:pt>
                </c:lvl>
              </c:multiLvlStrCache>
            </c:multiLvlStrRef>
          </c:cat>
          <c:val>
            <c:numRef>
              <c:f>Results!$D$4:$D$9</c:f>
              <c:numCache>
                <c:formatCode>0.0%</c:formatCode>
                <c:ptCount val="6"/>
                <c:pt idx="0">
                  <c:v>0.245682656057853</c:v>
                </c:pt>
                <c:pt idx="1">
                  <c:v>0.281354246138697</c:v>
                </c:pt>
                <c:pt idx="2">
                  <c:v>0.0431906138070642</c:v>
                </c:pt>
                <c:pt idx="3">
                  <c:v>0.40871143739384</c:v>
                </c:pt>
                <c:pt idx="4">
                  <c:v>0.0210610466025457</c:v>
                </c:pt>
                <c:pt idx="5">
                  <c:v>0.00464007797487092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Breakdown of Flex Material </a:t>
            </a:r>
          </a:p>
          <a:p>
            <a:pPr>
              <a:defRPr/>
            </a:pPr>
            <a:r>
              <a:rPr lang="en-US"/>
              <a:t>(% of the Flex X0)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Breakdown of Flex Material (% of the Flex X0)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Results!$F$5:$F$15</c:f>
              <c:strCache>
                <c:ptCount val="11"/>
                <c:pt idx="0">
                  <c:v>Flex body Kapton</c:v>
                </c:pt>
                <c:pt idx="1">
                  <c:v>Flex tab Kapton</c:v>
                </c:pt>
                <c:pt idx="2">
                  <c:v>Copper body</c:v>
                </c:pt>
                <c:pt idx="3">
                  <c:v>Copper tab</c:v>
                </c:pt>
                <c:pt idx="4">
                  <c:v>Vias</c:v>
                </c:pt>
                <c:pt idx="5">
                  <c:v>Solder resist</c:v>
                </c:pt>
                <c:pt idx="6">
                  <c:v>ENIG</c:v>
                </c:pt>
                <c:pt idx="7">
                  <c:v>SMD</c:v>
                </c:pt>
                <c:pt idx="8">
                  <c:v>Solder</c:v>
                </c:pt>
                <c:pt idx="9">
                  <c:v>Wire bonds</c:v>
                </c:pt>
                <c:pt idx="10">
                  <c:v>Connector</c:v>
                </c:pt>
              </c:strCache>
            </c:strRef>
          </c:cat>
          <c:val>
            <c:numRef>
              <c:f>Results!$H$5:$H$15</c:f>
              <c:numCache>
                <c:formatCode>0.0%</c:formatCode>
                <c:ptCount val="11"/>
                <c:pt idx="0">
                  <c:v>0.126123253336814</c:v>
                </c:pt>
                <c:pt idx="1">
                  <c:v>0.0202113200418069</c:v>
                </c:pt>
                <c:pt idx="2">
                  <c:v>0.218907073130859</c:v>
                </c:pt>
                <c:pt idx="3">
                  <c:v>0.0685975528398462</c:v>
                </c:pt>
                <c:pt idx="4">
                  <c:v>0.0056337161404736</c:v>
                </c:pt>
                <c:pt idx="5">
                  <c:v>0.0464551601711742</c:v>
                </c:pt>
                <c:pt idx="6">
                  <c:v>0.0088912002466846</c:v>
                </c:pt>
                <c:pt idx="7">
                  <c:v>0.305677790052847</c:v>
                </c:pt>
                <c:pt idx="8">
                  <c:v>0.154045101990377</c:v>
                </c:pt>
                <c:pt idx="9">
                  <c:v>0.00505679320905942</c:v>
                </c:pt>
                <c:pt idx="10">
                  <c:v>0.0404010388400575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%X/X0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Results!$X$3:$X$7</c:f>
              <c:strCache>
                <c:ptCount val="5"/>
                <c:pt idx="0">
                  <c:v>150um ROIC/150um Sensor/36um Cu</c:v>
                </c:pt>
                <c:pt idx="1">
                  <c:v>150um ROIC/150um Sensor</c:v>
                </c:pt>
                <c:pt idx="2">
                  <c:v>150um ROIC/200um Sensor</c:v>
                </c:pt>
                <c:pt idx="3">
                  <c:v>400um ROIC/150um Sensor</c:v>
                </c:pt>
                <c:pt idx="4">
                  <c:v>400um ROIC/200um Sensor</c:v>
                </c:pt>
              </c:strCache>
            </c:strRef>
          </c:cat>
          <c:val>
            <c:numRef>
              <c:f>Results!$AA$3:$AA$7</c:f>
              <c:numCache>
                <c:formatCode>0.000</c:formatCode>
                <c:ptCount val="5"/>
                <c:pt idx="0">
                  <c:v>0.746872724264502</c:v>
                </c:pt>
                <c:pt idx="1">
                  <c:v>0.68553777943964</c:v>
                </c:pt>
                <c:pt idx="2">
                  <c:v>0.741679360266551</c:v>
                </c:pt>
                <c:pt idx="3">
                  <c:v>0.98238370078796</c:v>
                </c:pt>
                <c:pt idx="4">
                  <c:v>1.038525281614872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8079984"/>
        <c:axId val="985319600"/>
      </c:barChart>
      <c:barChart>
        <c:barDir val="col"/>
        <c:grouping val="clustered"/>
        <c:varyColors val="0"/>
        <c:ser>
          <c:idx val="0"/>
          <c:order val="1"/>
          <c:tx>
            <c:v>%increase over baseline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Results!$X$3:$X$7</c:f>
              <c:strCache>
                <c:ptCount val="5"/>
                <c:pt idx="0">
                  <c:v>150um ROIC/150um Sensor/36um Cu</c:v>
                </c:pt>
                <c:pt idx="1">
                  <c:v>150um ROIC/150um Sensor</c:v>
                </c:pt>
                <c:pt idx="2">
                  <c:v>150um ROIC/200um Sensor</c:v>
                </c:pt>
                <c:pt idx="3">
                  <c:v>400um ROIC/150um Sensor</c:v>
                </c:pt>
                <c:pt idx="4">
                  <c:v>400um ROIC/200um Sensor</c:v>
                </c:pt>
              </c:strCache>
            </c:strRef>
          </c:cat>
          <c:val>
            <c:numRef>
              <c:f>Results!$AB$3:$AB$7</c:f>
              <c:numCache>
                <c:formatCode>0%</c:formatCode>
                <c:ptCount val="5"/>
                <c:pt idx="0">
                  <c:v>0.0894698245149921</c:v>
                </c:pt>
                <c:pt idx="1">
                  <c:v>0.0</c:v>
                </c:pt>
                <c:pt idx="2">
                  <c:v>0.081894218685951</c:v>
                </c:pt>
                <c:pt idx="3">
                  <c:v>0.433011761351742</c:v>
                </c:pt>
                <c:pt idx="4">
                  <c:v>0.514905980037693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954912"/>
        <c:axId val="986937360"/>
      </c:barChart>
      <c:catAx>
        <c:axId val="98807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319600"/>
        <c:crosses val="autoZero"/>
        <c:auto val="1"/>
        <c:lblAlgn val="ctr"/>
        <c:lblOffset val="100"/>
        <c:noMultiLvlLbl val="0"/>
      </c:catAx>
      <c:valAx>
        <c:axId val="98531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%X/X0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079984"/>
        <c:crosses val="autoZero"/>
        <c:crossBetween val="between"/>
      </c:valAx>
      <c:valAx>
        <c:axId val="986937360"/>
        <c:scaling>
          <c:orientation val="minMax"/>
          <c:max val="0.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%increase</a:t>
                </a:r>
                <a:r>
                  <a:rPr lang="en-US" baseline="0"/>
                  <a:t> over baseline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54912"/>
        <c:crosses val="max"/>
        <c:crossBetween val="between"/>
      </c:valAx>
      <c:catAx>
        <c:axId val="98695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6937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21</xdr:row>
      <xdr:rowOff>12700</xdr:rowOff>
    </xdr:from>
    <xdr:to>
      <xdr:col>7</xdr:col>
      <xdr:colOff>1121996</xdr:colOff>
      <xdr:row>41</xdr:row>
      <xdr:rowOff>116463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182196</xdr:colOff>
      <xdr:row>21</xdr:row>
      <xdr:rowOff>12700</xdr:rowOff>
    </xdr:from>
    <xdr:to>
      <xdr:col>13</xdr:col>
      <xdr:colOff>137885</xdr:colOff>
      <xdr:row>41</xdr:row>
      <xdr:rowOff>103763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520700</xdr:colOff>
      <xdr:row>9</xdr:row>
      <xdr:rowOff>0</xdr:rowOff>
    </xdr:from>
    <xdr:to>
      <xdr:col>28</xdr:col>
      <xdr:colOff>114300</xdr:colOff>
      <xdr:row>27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8"/>
  <sheetViews>
    <sheetView tabSelected="1" topLeftCell="L1" workbookViewId="0">
      <selection activeCell="L17" sqref="L17"/>
    </sheetView>
  </sheetViews>
  <sheetFormatPr baseColWidth="10" defaultRowHeight="16" x14ac:dyDescent="0.2"/>
  <cols>
    <col min="2" max="2" width="14" bestFit="1" customWidth="1"/>
    <col min="3" max="3" width="6.33203125" bestFit="1" customWidth="1"/>
    <col min="4" max="4" width="12" bestFit="1" customWidth="1"/>
    <col min="5" max="5" width="10.33203125" customWidth="1"/>
    <col min="6" max="6" width="15.1640625" bestFit="1" customWidth="1"/>
    <col min="7" max="7" width="5.6640625" bestFit="1" customWidth="1"/>
    <col min="8" max="8" width="17.83203125" bestFit="1" customWidth="1"/>
    <col min="9" max="9" width="27.1640625" bestFit="1" customWidth="1"/>
    <col min="12" max="12" width="21.33203125" bestFit="1" customWidth="1"/>
    <col min="13" max="13" width="6.33203125" bestFit="1" customWidth="1"/>
    <col min="14" max="14" width="12" bestFit="1" customWidth="1"/>
    <col min="16" max="16" width="21.33203125" bestFit="1" customWidth="1"/>
    <col min="17" max="17" width="6.33203125" bestFit="1" customWidth="1"/>
    <col min="18" max="18" width="12" bestFit="1" customWidth="1"/>
    <col min="20" max="20" width="21.33203125" bestFit="1" customWidth="1"/>
    <col min="21" max="21" width="6.33203125" bestFit="1" customWidth="1"/>
    <col min="22" max="22" width="12" bestFit="1" customWidth="1"/>
    <col min="24" max="24" width="21.33203125" bestFit="1" customWidth="1"/>
    <col min="25" max="25" width="6.33203125" bestFit="1" customWidth="1"/>
    <col min="26" max="26" width="12" bestFit="1" customWidth="1"/>
    <col min="28" max="28" width="21" bestFit="1" customWidth="1"/>
  </cols>
  <sheetData>
    <row r="1" spans="2:28" ht="17" thickBot="1" x14ac:dyDescent="0.25">
      <c r="B1" s="30" t="s">
        <v>219</v>
      </c>
      <c r="C1" s="31"/>
      <c r="D1" s="32"/>
      <c r="F1" s="30" t="s">
        <v>107</v>
      </c>
      <c r="G1" s="31"/>
      <c r="H1" s="32"/>
      <c r="P1" s="30" t="s">
        <v>219</v>
      </c>
      <c r="Q1" s="31"/>
      <c r="R1" s="32"/>
      <c r="T1" s="30" t="s">
        <v>219</v>
      </c>
      <c r="U1" s="31"/>
      <c r="V1" s="32"/>
    </row>
    <row r="2" spans="2:28" ht="17" thickBot="1" x14ac:dyDescent="0.25">
      <c r="B2" s="33"/>
      <c r="C2" s="34"/>
      <c r="D2" s="35"/>
      <c r="F2" s="33"/>
      <c r="G2" s="53" t="s">
        <v>80</v>
      </c>
      <c r="H2" s="35" t="s">
        <v>220</v>
      </c>
      <c r="P2" s="64" t="s">
        <v>228</v>
      </c>
      <c r="Q2" s="65"/>
      <c r="R2" s="66"/>
      <c r="T2" s="64" t="s">
        <v>229</v>
      </c>
      <c r="U2" s="65"/>
      <c r="V2" s="66"/>
      <c r="X2" s="73" t="s">
        <v>232</v>
      </c>
      <c r="Y2" s="74"/>
      <c r="Z2" s="74"/>
      <c r="AA2" s="58" t="s">
        <v>197</v>
      </c>
      <c r="AB2" s="59" t="s">
        <v>233</v>
      </c>
    </row>
    <row r="3" spans="2:28" ht="17" thickBot="1" x14ac:dyDescent="0.25">
      <c r="B3" s="52"/>
      <c r="C3" s="31" t="s">
        <v>197</v>
      </c>
      <c r="D3" s="32" t="s">
        <v>220</v>
      </c>
      <c r="F3" s="33" t="s">
        <v>106</v>
      </c>
      <c r="G3" s="53">
        <f>C7</f>
        <v>0.28018713122255634</v>
      </c>
      <c r="H3" s="50">
        <f>G3/$C$11</f>
        <v>0.4087114373938398</v>
      </c>
      <c r="P3" s="52"/>
      <c r="Q3" s="31" t="s">
        <v>197</v>
      </c>
      <c r="R3" s="32" t="s">
        <v>220</v>
      </c>
      <c r="T3" s="52"/>
      <c r="U3" s="31" t="s">
        <v>197</v>
      </c>
      <c r="V3" s="32" t="s">
        <v>220</v>
      </c>
      <c r="X3" s="69" t="str">
        <f>P29</f>
        <v>150um ROIC/150um Sensor/36um Cu</v>
      </c>
      <c r="Y3" s="70"/>
      <c r="Z3" s="70"/>
      <c r="AA3" s="63">
        <f>Q38</f>
        <v>0.7468727242645018</v>
      </c>
      <c r="AB3" s="60">
        <f>AA3/AA4-1</f>
        <v>8.946982451499208E-2</v>
      </c>
    </row>
    <row r="4" spans="2:28" x14ac:dyDescent="0.2">
      <c r="B4" s="33" t="s">
        <v>203</v>
      </c>
      <c r="C4" s="53">
        <f>'Module X0'!N5</f>
        <v>0.16842474248073336</v>
      </c>
      <c r="D4" s="50">
        <f t="shared" ref="D4:D9" si="0">C4/$C$11</f>
        <v>0.24568265605785303</v>
      </c>
      <c r="E4" s="9"/>
      <c r="F4" s="52"/>
      <c r="G4" s="55"/>
      <c r="H4" s="32" t="s">
        <v>221</v>
      </c>
      <c r="P4" s="33" t="s">
        <v>203</v>
      </c>
      <c r="Q4" s="53">
        <v>0.16842474248073336</v>
      </c>
      <c r="R4" s="50">
        <v>0.24568265605785303</v>
      </c>
      <c r="T4" s="33" t="s">
        <v>203</v>
      </c>
      <c r="U4" s="53">
        <v>0.22456632330764451</v>
      </c>
      <c r="V4" s="50">
        <v>0.30278087181357988</v>
      </c>
      <c r="X4" s="71" t="s">
        <v>228</v>
      </c>
      <c r="Y4" s="72"/>
      <c r="Z4" s="72"/>
      <c r="AA4" s="56">
        <f>Q11</f>
        <v>0.68553777943963989</v>
      </c>
      <c r="AB4" s="61">
        <f>AA4/AA$4-1</f>
        <v>0</v>
      </c>
    </row>
    <row r="5" spans="2:28" x14ac:dyDescent="0.2">
      <c r="B5" s="33" t="s">
        <v>192</v>
      </c>
      <c r="C5" s="53">
        <f>'Module X0'!N6</f>
        <v>0.19287896513383643</v>
      </c>
      <c r="D5" s="50">
        <f t="shared" si="0"/>
        <v>0.28135424613869731</v>
      </c>
      <c r="E5" s="9"/>
      <c r="F5" s="33" t="s">
        <v>111</v>
      </c>
      <c r="G5" s="53">
        <f>'Module X0'!M13+'Module X0'!M15+'Module X0'!M16</f>
        <v>3.533811253289771E-2</v>
      </c>
      <c r="H5" s="50">
        <f t="shared" ref="H5:H15" si="1">G5/$G$3</f>
        <v>0.12612325333681432</v>
      </c>
      <c r="P5" s="33" t="s">
        <v>192</v>
      </c>
      <c r="Q5" s="53">
        <v>0.19287896513383643</v>
      </c>
      <c r="R5" s="50">
        <v>0.28135424613869731</v>
      </c>
      <c r="T5" s="33" t="s">
        <v>192</v>
      </c>
      <c r="U5" s="53">
        <v>0.19287896513383643</v>
      </c>
      <c r="V5" s="50">
        <v>0.2600570751551155</v>
      </c>
      <c r="X5" s="71" t="s">
        <v>229</v>
      </c>
      <c r="Y5" s="72"/>
      <c r="Z5" s="72"/>
      <c r="AA5" s="56">
        <f>U11</f>
        <v>0.74167936026655101</v>
      </c>
      <c r="AB5" s="61">
        <f>AA5/AA$4-1</f>
        <v>8.1894218685951037E-2</v>
      </c>
    </row>
    <row r="6" spans="2:28" x14ac:dyDescent="0.2">
      <c r="B6" s="33" t="s">
        <v>14</v>
      </c>
      <c r="C6" s="53">
        <f>'Module X0'!N32</f>
        <v>2.9608797481929867E-2</v>
      </c>
      <c r="D6" s="50">
        <f t="shared" si="0"/>
        <v>4.3190613807064238E-2</v>
      </c>
      <c r="E6" s="9"/>
      <c r="F6" s="33" t="s">
        <v>112</v>
      </c>
      <c r="G6" s="53">
        <f>'Module X0'!M25+'Module X0'!M21+'Module X0'!M22</f>
        <v>5.662951780734839E-3</v>
      </c>
      <c r="H6" s="50">
        <f t="shared" si="1"/>
        <v>2.0211320041806924E-2</v>
      </c>
      <c r="I6" t="s">
        <v>185</v>
      </c>
      <c r="P6" s="33" t="s">
        <v>14</v>
      </c>
      <c r="Q6" s="53">
        <v>2.9608797481929867E-2</v>
      </c>
      <c r="R6" s="50">
        <v>4.3190613807064238E-2</v>
      </c>
      <c r="T6" s="33" t="s">
        <v>14</v>
      </c>
      <c r="U6" s="53">
        <v>2.9608797481929867E-2</v>
      </c>
      <c r="V6" s="50">
        <v>3.9921290881397599E-2</v>
      </c>
      <c r="X6" s="71" t="s">
        <v>231</v>
      </c>
      <c r="Y6" s="72"/>
      <c r="Z6" s="72"/>
      <c r="AA6" s="56">
        <f>U25</f>
        <v>0.98238370078796045</v>
      </c>
      <c r="AB6" s="61">
        <f>AA6/AA$4-1</f>
        <v>0.43301176135174213</v>
      </c>
    </row>
    <row r="7" spans="2:28" ht="17" thickBot="1" x14ac:dyDescent="0.25">
      <c r="B7" s="33" t="s">
        <v>106</v>
      </c>
      <c r="C7" s="53">
        <f>'Module X0'!N8+'Module X0'!N18+'Module X0'!N28+'Module X0'!N38+'Module X0'!N41</f>
        <v>0.28018713122255634</v>
      </c>
      <c r="D7" s="50">
        <f t="shared" si="0"/>
        <v>0.4087114373938398</v>
      </c>
      <c r="E7" s="9"/>
      <c r="F7" s="33" t="s">
        <v>193</v>
      </c>
      <c r="G7" s="53">
        <f>'Module X0'!M12+'Module X0'!M14</f>
        <v>6.1334944824861862E-2</v>
      </c>
      <c r="H7" s="50">
        <f t="shared" si="1"/>
        <v>0.21890707313085947</v>
      </c>
      <c r="P7" s="33" t="s">
        <v>106</v>
      </c>
      <c r="Q7" s="53">
        <v>0.28018713122255634</v>
      </c>
      <c r="R7" s="50">
        <v>0.4087114373938398</v>
      </c>
      <c r="T7" s="33" t="s">
        <v>106</v>
      </c>
      <c r="U7" s="53">
        <v>0.28018713122255634</v>
      </c>
      <c r="V7" s="50">
        <v>0.37777393606026777</v>
      </c>
      <c r="X7" s="67" t="s">
        <v>230</v>
      </c>
      <c r="Y7" s="68"/>
      <c r="Z7" s="68"/>
      <c r="AA7" s="57">
        <f>Q25</f>
        <v>1.0385252816148718</v>
      </c>
      <c r="AB7" s="62">
        <f>AA7/AA$4-1</f>
        <v>0.51490598003769339</v>
      </c>
    </row>
    <row r="8" spans="2:28" x14ac:dyDescent="0.2">
      <c r="B8" s="33" t="s">
        <v>110</v>
      </c>
      <c r="C8" s="53">
        <f>'Module X0'!N7</f>
        <v>1.4438143120583922E-2</v>
      </c>
      <c r="D8" s="50">
        <f t="shared" si="0"/>
        <v>2.1061046602545656E-2</v>
      </c>
      <c r="E8" s="9"/>
      <c r="F8" s="33" t="s">
        <v>194</v>
      </c>
      <c r="G8" s="53">
        <f>'Module X0'!M24+'Module X0'!M26</f>
        <v>1.9220151539084226E-2</v>
      </c>
      <c r="H8" s="50">
        <f t="shared" si="1"/>
        <v>6.8597552839846185E-2</v>
      </c>
      <c r="I8" t="s">
        <v>185</v>
      </c>
      <c r="P8" s="33" t="s">
        <v>110</v>
      </c>
      <c r="Q8" s="53">
        <v>1.4438143120583922E-2</v>
      </c>
      <c r="R8" s="50">
        <v>2.1061046602545656E-2</v>
      </c>
      <c r="T8" s="33" t="s">
        <v>110</v>
      </c>
      <c r="U8" s="53">
        <v>1.4438143120583922E-2</v>
      </c>
      <c r="V8" s="50">
        <v>1.9466826089639355E-2</v>
      </c>
    </row>
    <row r="9" spans="2:28" x14ac:dyDescent="0.2">
      <c r="B9" s="33" t="s">
        <v>202</v>
      </c>
      <c r="C9" s="53">
        <f>'Module X0'!N36</f>
        <v>3.180948751319791E-3</v>
      </c>
      <c r="D9" s="50">
        <f t="shared" si="0"/>
        <v>4.6400779748709186E-3</v>
      </c>
      <c r="E9" s="9"/>
      <c r="F9" s="33" t="s">
        <v>53</v>
      </c>
      <c r="G9" s="53">
        <f>'Module X0'!M31+'Module X0'!M30</f>
        <v>1.5784947635215116E-3</v>
      </c>
      <c r="H9" s="50">
        <f t="shared" si="1"/>
        <v>5.6337161404736045E-3</v>
      </c>
      <c r="P9" s="33" t="s">
        <v>202</v>
      </c>
      <c r="Q9" s="53">
        <v>3.180948751319791E-3</v>
      </c>
      <c r="R9" s="50">
        <v>4.6400779748709186E-3</v>
      </c>
      <c r="T9" s="33" t="s">
        <v>202</v>
      </c>
      <c r="U9" s="53">
        <v>3.180948751319791E-3</v>
      </c>
      <c r="V9" s="50">
        <v>4.2888462612423175E-3</v>
      </c>
    </row>
    <row r="10" spans="2:28" x14ac:dyDescent="0.2">
      <c r="B10" s="33"/>
      <c r="C10" s="53"/>
      <c r="D10" s="35"/>
      <c r="E10" s="9"/>
      <c r="F10" s="33" t="s">
        <v>113</v>
      </c>
      <c r="G10" s="53">
        <f>'Module X0'!M11+'Module X0'!M17+'Module X0'!M23+'Module X0'!M27</f>
        <v>1.3016138058845656E-2</v>
      </c>
      <c r="H10" s="50">
        <f t="shared" si="1"/>
        <v>4.6455160171174188E-2</v>
      </c>
      <c r="P10" s="33"/>
      <c r="Q10" s="53"/>
      <c r="R10" s="35"/>
      <c r="T10" s="33"/>
      <c r="U10" s="53"/>
      <c r="V10" s="35"/>
    </row>
    <row r="11" spans="2:28" ht="17" thickBot="1" x14ac:dyDescent="0.25">
      <c r="B11" s="47" t="s">
        <v>71</v>
      </c>
      <c r="C11" s="54">
        <f>SUM(C4:C8)</f>
        <v>0.68553777943963989</v>
      </c>
      <c r="D11" s="51">
        <f>SUM(D4:D8)</f>
        <v>1</v>
      </c>
      <c r="E11" s="21"/>
      <c r="F11" s="33" t="s">
        <v>114</v>
      </c>
      <c r="G11" s="53">
        <f>'Module X0'!M9+'Module X0'!M10+'Module X0'!M19+'Module X0'!M20</f>
        <v>2.491199890243843E-3</v>
      </c>
      <c r="H11" s="50">
        <f t="shared" si="1"/>
        <v>8.8912002466845982E-3</v>
      </c>
      <c r="P11" s="47" t="s">
        <v>71</v>
      </c>
      <c r="Q11" s="54">
        <v>0.68553777943963989</v>
      </c>
      <c r="R11" s="51">
        <v>1</v>
      </c>
      <c r="T11" s="47" t="s">
        <v>71</v>
      </c>
      <c r="U11" s="54">
        <v>0.74167936026655101</v>
      </c>
      <c r="V11" s="51">
        <v>1.0000000000000002</v>
      </c>
    </row>
    <row r="12" spans="2:28" x14ac:dyDescent="0.2">
      <c r="F12" s="33" t="s">
        <v>108</v>
      </c>
      <c r="G12" s="53">
        <f>'Module X0'!M44+'Module X0'!M46+'Module X0'!M49+'Module X0'!M52+'Module X0'!M53+'Module X0'!M45+'Module X0'!M47+'Module X0'!M48+'Module X0'!M50</f>
        <v>8.564698307335819E-2</v>
      </c>
      <c r="H12" s="50">
        <f t="shared" si="1"/>
        <v>0.30567779005284745</v>
      </c>
      <c r="I12" t="s">
        <v>187</v>
      </c>
    </row>
    <row r="13" spans="2:28" x14ac:dyDescent="0.2">
      <c r="F13" s="33" t="s">
        <v>109</v>
      </c>
      <c r="G13" s="53">
        <f>'Module X0'!M51</f>
        <v>4.3161455205569715E-2</v>
      </c>
      <c r="H13" s="50">
        <f t="shared" si="1"/>
        <v>0.15404510199037658</v>
      </c>
      <c r="I13" t="s">
        <v>186</v>
      </c>
    </row>
    <row r="14" spans="2:28" ht="17" thickBot="1" x14ac:dyDescent="0.25">
      <c r="F14" s="33" t="s">
        <v>22</v>
      </c>
      <c r="G14" s="53">
        <f>'Module X0'!M40</f>
        <v>1.4168483824320642E-3</v>
      </c>
      <c r="H14" s="50">
        <f t="shared" si="1"/>
        <v>5.0567932090594221E-3</v>
      </c>
    </row>
    <row r="15" spans="2:28" x14ac:dyDescent="0.2">
      <c r="F15" s="33" t="s">
        <v>26</v>
      </c>
      <c r="G15" s="53">
        <f>'Module X0'!M54</f>
        <v>1.1319851171006791E-2</v>
      </c>
      <c r="H15" s="50">
        <f t="shared" si="1"/>
        <v>4.0401038840057517E-2</v>
      </c>
      <c r="I15" t="s">
        <v>238</v>
      </c>
      <c r="P15" s="30" t="s">
        <v>219</v>
      </c>
      <c r="Q15" s="31"/>
      <c r="R15" s="32"/>
      <c r="T15" s="30" t="s">
        <v>219</v>
      </c>
      <c r="U15" s="31"/>
      <c r="V15" s="32"/>
    </row>
    <row r="16" spans="2:28" ht="17" thickBot="1" x14ac:dyDescent="0.25">
      <c r="F16" s="33"/>
      <c r="G16" s="34"/>
      <c r="H16" s="35"/>
      <c r="P16" s="64" t="s">
        <v>230</v>
      </c>
      <c r="Q16" s="65"/>
      <c r="R16" s="66"/>
      <c r="T16" s="64" t="s">
        <v>231</v>
      </c>
      <c r="U16" s="65"/>
      <c r="V16" s="66"/>
    </row>
    <row r="17" spans="6:22" ht="17" thickBot="1" x14ac:dyDescent="0.25">
      <c r="F17" s="47" t="s">
        <v>71</v>
      </c>
      <c r="G17" s="54">
        <f>SUM(G5:G15)</f>
        <v>0.2801871312225564</v>
      </c>
      <c r="H17" s="51">
        <f>SUM(H5:H15)</f>
        <v>1.0000000000000002</v>
      </c>
      <c r="P17" s="52"/>
      <c r="Q17" s="31" t="s">
        <v>197</v>
      </c>
      <c r="R17" s="32" t="s">
        <v>220</v>
      </c>
      <c r="T17" s="52"/>
      <c r="U17" s="31" t="s">
        <v>197</v>
      </c>
      <c r="V17" s="32" t="s">
        <v>220</v>
      </c>
    </row>
    <row r="18" spans="6:22" x14ac:dyDescent="0.2">
      <c r="P18" s="33" t="s">
        <v>203</v>
      </c>
      <c r="Q18" s="53">
        <v>0.22456632330764451</v>
      </c>
      <c r="R18" s="50">
        <v>0.21623577902547683</v>
      </c>
      <c r="T18" s="33" t="s">
        <v>203</v>
      </c>
      <c r="U18" s="53">
        <v>0.16842474248073336</v>
      </c>
      <c r="V18" s="50">
        <v>0.17144496834143472</v>
      </c>
    </row>
    <row r="19" spans="6:22" x14ac:dyDescent="0.2">
      <c r="P19" s="33" t="s">
        <v>192</v>
      </c>
      <c r="Q19" s="53">
        <v>0.48972488648215701</v>
      </c>
      <c r="R19" s="50">
        <v>0.47155798241199415</v>
      </c>
      <c r="T19" s="33" t="s">
        <v>192</v>
      </c>
      <c r="U19" s="53">
        <v>0.48972488648215701</v>
      </c>
      <c r="V19" s="50">
        <v>0.498506730200586</v>
      </c>
    </row>
    <row r="20" spans="6:22" x14ac:dyDescent="0.2">
      <c r="P20" s="33" t="s">
        <v>14</v>
      </c>
      <c r="Q20" s="53">
        <v>2.9608797481929867E-2</v>
      </c>
      <c r="R20" s="50">
        <v>2.8510425317609202E-2</v>
      </c>
      <c r="T20" s="33" t="s">
        <v>14</v>
      </c>
      <c r="U20" s="53">
        <v>2.9608797481929867E-2</v>
      </c>
      <c r="V20" s="50">
        <v>3.0139748306268657E-2</v>
      </c>
    </row>
    <row r="21" spans="6:22" x14ac:dyDescent="0.2">
      <c r="P21" s="33" t="s">
        <v>106</v>
      </c>
      <c r="Q21" s="53">
        <v>0.28018713122255634</v>
      </c>
      <c r="R21" s="50">
        <v>0.26979326953588922</v>
      </c>
      <c r="T21" s="33" t="s">
        <v>106</v>
      </c>
      <c r="U21" s="53">
        <v>0.28018713122255634</v>
      </c>
      <c r="V21" s="50">
        <v>0.28521150238732684</v>
      </c>
    </row>
    <row r="22" spans="6:22" x14ac:dyDescent="0.2">
      <c r="P22" s="33" t="s">
        <v>110</v>
      </c>
      <c r="Q22" s="53">
        <v>1.4438143120583922E-2</v>
      </c>
      <c r="R22" s="50">
        <v>1.3902543709030459E-2</v>
      </c>
      <c r="T22" s="33" t="s">
        <v>110</v>
      </c>
      <c r="U22" s="53">
        <v>1.4438143120583922E-2</v>
      </c>
      <c r="V22" s="50">
        <v>1.4697050764383842E-2</v>
      </c>
    </row>
    <row r="23" spans="6:22" x14ac:dyDescent="0.2">
      <c r="P23" s="33" t="s">
        <v>202</v>
      </c>
      <c r="Q23" s="53">
        <v>3.0286929520762771E-3</v>
      </c>
      <c r="R23" s="50">
        <v>2.9163401273840555E-3</v>
      </c>
      <c r="T23" s="33" t="s">
        <v>202</v>
      </c>
      <c r="U23" s="53">
        <v>3.0286929520762771E-3</v>
      </c>
      <c r="V23" s="50">
        <v>3.0830040743214612E-3</v>
      </c>
    </row>
    <row r="24" spans="6:22" x14ac:dyDescent="0.2">
      <c r="P24" s="33"/>
      <c r="Q24" s="53"/>
      <c r="R24" s="35"/>
      <c r="T24" s="33"/>
      <c r="U24" s="53"/>
      <c r="V24" s="35"/>
    </row>
    <row r="25" spans="6:22" ht="17" thickBot="1" x14ac:dyDescent="0.25">
      <c r="P25" s="47" t="s">
        <v>71</v>
      </c>
      <c r="Q25" s="54">
        <v>1.0385252816148718</v>
      </c>
      <c r="R25" s="51">
        <v>0.99999999999999978</v>
      </c>
      <c r="T25" s="47" t="s">
        <v>71</v>
      </c>
      <c r="U25" s="54">
        <v>0.98238370078796045</v>
      </c>
      <c r="V25" s="51">
        <v>1</v>
      </c>
    </row>
    <row r="27" spans="6:22" ht="17" thickBot="1" x14ac:dyDescent="0.25"/>
    <row r="28" spans="6:22" x14ac:dyDescent="0.2">
      <c r="P28" s="30" t="s">
        <v>219</v>
      </c>
      <c r="Q28" s="31"/>
      <c r="R28" s="32"/>
    </row>
    <row r="29" spans="6:22" ht="17" thickBot="1" x14ac:dyDescent="0.25">
      <c r="P29" s="64" t="s">
        <v>239</v>
      </c>
      <c r="Q29" s="65"/>
      <c r="R29" s="66"/>
    </row>
    <row r="30" spans="6:22" x14ac:dyDescent="0.2">
      <c r="P30" s="52"/>
      <c r="Q30" s="31" t="s">
        <v>197</v>
      </c>
      <c r="R30" s="32" t="s">
        <v>220</v>
      </c>
    </row>
    <row r="31" spans="6:22" x14ac:dyDescent="0.2">
      <c r="P31" s="33" t="s">
        <v>203</v>
      </c>
      <c r="Q31" s="53">
        <v>0.16842474248073336</v>
      </c>
      <c r="R31" s="50">
        <v>0.22550661847584952</v>
      </c>
    </row>
    <row r="32" spans="6:22" x14ac:dyDescent="0.2">
      <c r="P32" s="33" t="s">
        <v>192</v>
      </c>
      <c r="Q32" s="53">
        <v>0.19287896513383643</v>
      </c>
      <c r="R32" s="50">
        <v>0.25824877367663673</v>
      </c>
    </row>
    <row r="33" spans="16:18" x14ac:dyDescent="0.2">
      <c r="P33" s="33" t="s">
        <v>14</v>
      </c>
      <c r="Q33" s="53">
        <v>2.9608797481929867E-2</v>
      </c>
      <c r="R33" s="50">
        <v>3.9643699013225765E-2</v>
      </c>
    </row>
    <row r="34" spans="16:18" x14ac:dyDescent="0.2">
      <c r="P34" s="33" t="s">
        <v>106</v>
      </c>
      <c r="Q34" s="53">
        <v>0.34152207604741824</v>
      </c>
      <c r="R34" s="50">
        <v>0.45726944491611887</v>
      </c>
    </row>
    <row r="35" spans="16:18" x14ac:dyDescent="0.2">
      <c r="P35" s="33" t="s">
        <v>110</v>
      </c>
      <c r="Q35" s="53">
        <v>1.4438143120583922E-2</v>
      </c>
      <c r="R35" s="50">
        <v>1.9331463918169162E-2</v>
      </c>
    </row>
    <row r="36" spans="16:18" x14ac:dyDescent="0.2">
      <c r="P36" s="33" t="s">
        <v>202</v>
      </c>
      <c r="Q36" s="53">
        <v>3.180948751319791E-3</v>
      </c>
      <c r="R36" s="50">
        <v>4.259023857715912E-3</v>
      </c>
    </row>
    <row r="37" spans="16:18" x14ac:dyDescent="0.2">
      <c r="P37" s="33"/>
      <c r="Q37" s="53"/>
      <c r="R37" s="35"/>
    </row>
    <row r="38" spans="16:18" ht="17" thickBot="1" x14ac:dyDescent="0.25">
      <c r="P38" s="47" t="s">
        <v>71</v>
      </c>
      <c r="Q38" s="54">
        <v>0.7468727242645018</v>
      </c>
      <c r="R38" s="51">
        <v>1</v>
      </c>
    </row>
  </sheetData>
  <mergeCells count="11">
    <mergeCell ref="P29:R29"/>
    <mergeCell ref="X7:Z7"/>
    <mergeCell ref="X3:Z3"/>
    <mergeCell ref="P2:R2"/>
    <mergeCell ref="T2:V2"/>
    <mergeCell ref="P16:R16"/>
    <mergeCell ref="T16:V16"/>
    <mergeCell ref="X4:Z4"/>
    <mergeCell ref="X5:Z5"/>
    <mergeCell ref="X6:Z6"/>
    <mergeCell ref="X2:Z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4" zoomScale="91" workbookViewId="0">
      <pane xSplit="1" topLeftCell="B1" activePane="topRight" state="frozen"/>
      <selection pane="topRight" activeCell="B30" sqref="B30"/>
    </sheetView>
  </sheetViews>
  <sheetFormatPr baseColWidth="10" defaultRowHeight="16" x14ac:dyDescent="0.2"/>
  <cols>
    <col min="1" max="1" width="24.5" bestFit="1" customWidth="1"/>
    <col min="2" max="2" width="27.5" customWidth="1"/>
    <col min="3" max="3" width="15" customWidth="1"/>
    <col min="4" max="4" width="10.33203125" bestFit="1" customWidth="1"/>
    <col min="5" max="5" width="14.5" bestFit="1" customWidth="1"/>
    <col min="6" max="6" width="14.33203125" bestFit="1" customWidth="1"/>
    <col min="7" max="7" width="22.6640625" bestFit="1" customWidth="1"/>
    <col min="8" max="8" width="13" bestFit="1" customWidth="1"/>
    <col min="9" max="9" width="12.1640625" bestFit="1" customWidth="1"/>
    <col min="13" max="13" width="16.6640625" customWidth="1"/>
    <col min="14" max="14" width="16.6640625" style="20" customWidth="1"/>
    <col min="15" max="15" width="12" style="9" customWidth="1"/>
    <col min="18" max="18" width="12.6640625" bestFit="1" customWidth="1"/>
    <col min="21" max="21" width="14.1640625" bestFit="1" customWidth="1"/>
    <col min="22" max="22" width="12.1640625" bestFit="1" customWidth="1"/>
    <col min="23" max="23" width="16.1640625" bestFit="1" customWidth="1"/>
    <col min="24" max="24" width="22.6640625" bestFit="1" customWidth="1"/>
  </cols>
  <sheetData>
    <row r="1" spans="1:16" x14ac:dyDescent="0.2">
      <c r="A1" t="s">
        <v>8</v>
      </c>
      <c r="B1" t="s">
        <v>59</v>
      </c>
      <c r="C1" t="s">
        <v>9</v>
      </c>
      <c r="D1" t="s">
        <v>10</v>
      </c>
      <c r="E1" t="s">
        <v>11</v>
      </c>
      <c r="F1" t="s">
        <v>15</v>
      </c>
      <c r="G1" t="s">
        <v>23</v>
      </c>
      <c r="H1" t="s">
        <v>1</v>
      </c>
      <c r="I1" t="s">
        <v>17</v>
      </c>
      <c r="J1" t="s">
        <v>58</v>
      </c>
      <c r="L1" t="s">
        <v>2</v>
      </c>
      <c r="M1" t="s">
        <v>197</v>
      </c>
      <c r="N1" s="20" t="s">
        <v>99</v>
      </c>
      <c r="O1" s="9" t="s">
        <v>98</v>
      </c>
    </row>
    <row r="2" spans="1:16" x14ac:dyDescent="0.2">
      <c r="C2" t="s">
        <v>12</v>
      </c>
      <c r="D2" t="s">
        <v>12</v>
      </c>
      <c r="E2" t="s">
        <v>13</v>
      </c>
      <c r="F2" t="s">
        <v>12</v>
      </c>
      <c r="H2" t="s">
        <v>16</v>
      </c>
      <c r="I2" t="s">
        <v>18</v>
      </c>
      <c r="J2" t="s">
        <v>0</v>
      </c>
      <c r="K2" s="3" t="s">
        <v>71</v>
      </c>
      <c r="L2" s="3">
        <f>SUM(L5:L54)</f>
        <v>2.2219397766927691</v>
      </c>
      <c r="M2" s="3">
        <f>SUM(M5:M54)</f>
        <v>0.68871872819095958</v>
      </c>
    </row>
    <row r="3" spans="1:16" x14ac:dyDescent="0.2">
      <c r="I3" s="27"/>
    </row>
    <row r="4" spans="1:16" x14ac:dyDescent="0.2">
      <c r="A4" t="s">
        <v>7</v>
      </c>
      <c r="C4">
        <f>40250/10000</f>
        <v>4.0250000000000004</v>
      </c>
      <c r="D4">
        <f>33850/10000</f>
        <v>3.3849999999999998</v>
      </c>
      <c r="E4">
        <f>D4*C4</f>
        <v>13.624625</v>
      </c>
      <c r="P4" s="9"/>
    </row>
    <row r="5" spans="1:16" x14ac:dyDescent="0.2">
      <c r="A5" s="3" t="s">
        <v>105</v>
      </c>
      <c r="B5" t="s">
        <v>61</v>
      </c>
      <c r="C5">
        <f>40980/10000</f>
        <v>4.0979999999999999</v>
      </c>
      <c r="D5">
        <f>34980/10000</f>
        <v>3.4980000000000002</v>
      </c>
      <c r="E5">
        <f>D5*C5</f>
        <v>14.334804</v>
      </c>
      <c r="F5">
        <v>1.4999999999999999E-2</v>
      </c>
      <c r="G5" s="2">
        <v>1</v>
      </c>
      <c r="H5">
        <f>E5*F5*G5</f>
        <v>0.21502205999999999</v>
      </c>
      <c r="I5">
        <v>2.3290000000000002</v>
      </c>
      <c r="J5" s="10">
        <v>9.3702799999999993</v>
      </c>
      <c r="L5">
        <f>I5*H5</f>
        <v>0.50078637774000001</v>
      </c>
      <c r="M5">
        <f>100*H5/$E$4/J5</f>
        <v>0.16842474248073336</v>
      </c>
      <c r="N5" s="22">
        <f>M5</f>
        <v>0.16842474248073336</v>
      </c>
      <c r="O5" s="21">
        <f>M5/M2</f>
        <v>0.24454793457284146</v>
      </c>
    </row>
    <row r="6" spans="1:16" x14ac:dyDescent="0.2">
      <c r="A6" s="3" t="s">
        <v>137</v>
      </c>
      <c r="B6" t="s">
        <v>199</v>
      </c>
      <c r="C6">
        <f>((399*50)+80*2)/10000</f>
        <v>2.0110000000000001</v>
      </c>
      <c r="D6">
        <f>((50*335)+80+2015)/10000</f>
        <v>1.8845000000000001</v>
      </c>
      <c r="E6">
        <f>D6*C6</f>
        <v>3.7897295000000004</v>
      </c>
      <c r="F6" s="26">
        <v>1.4999999999999999E-2</v>
      </c>
      <c r="G6" s="2">
        <v>4</v>
      </c>
      <c r="H6">
        <f>E6*F6*G6</f>
        <v>0.22738377000000001</v>
      </c>
      <c r="I6">
        <v>2.3290000000000002</v>
      </c>
      <c r="J6" s="10">
        <f>ROIC!H25</f>
        <v>8.6526679504786959</v>
      </c>
      <c r="K6" t="s">
        <v>200</v>
      </c>
      <c r="L6">
        <f t="shared" ref="L6:L54" si="0">I6*H6</f>
        <v>0.5295768003300001</v>
      </c>
      <c r="M6">
        <f>4*E6/E4*ROIC!H24</f>
        <v>0.19287896513383643</v>
      </c>
      <c r="N6" s="22">
        <f>M6</f>
        <v>0.19287896513383643</v>
      </c>
      <c r="O6" s="21">
        <f>M6/M2</f>
        <v>0.28005477016788383</v>
      </c>
    </row>
    <row r="7" spans="1:16" x14ac:dyDescent="0.2">
      <c r="A7" s="3" t="s">
        <v>67</v>
      </c>
      <c r="B7" t="s">
        <v>68</v>
      </c>
      <c r="C7">
        <f>C13</f>
        <v>4.05</v>
      </c>
      <c r="D7">
        <f>D13</f>
        <v>3.4</v>
      </c>
      <c r="E7">
        <f>D7*C7</f>
        <v>13.77</v>
      </c>
      <c r="F7">
        <f>50/10000</f>
        <v>5.0000000000000001E-3</v>
      </c>
      <c r="G7" s="2">
        <v>1</v>
      </c>
      <c r="H7">
        <f>E7*F7*G7</f>
        <v>6.8849999999999995E-2</v>
      </c>
      <c r="I7" s="7">
        <v>1.05</v>
      </c>
      <c r="J7">
        <v>35</v>
      </c>
      <c r="L7">
        <f t="shared" si="0"/>
        <v>7.2292499999999996E-2</v>
      </c>
      <c r="M7">
        <f>100*H7/$E$4/J7</f>
        <v>1.4438143120583922E-2</v>
      </c>
      <c r="N7" s="22">
        <f>M7</f>
        <v>1.4438143120583922E-2</v>
      </c>
      <c r="O7" s="21">
        <f>M7/M2</f>
        <v>2.0963773060895606E-2</v>
      </c>
    </row>
    <row r="8" spans="1:16" x14ac:dyDescent="0.2">
      <c r="A8" s="3" t="s">
        <v>25</v>
      </c>
      <c r="B8" s="3"/>
      <c r="G8" s="2"/>
      <c r="K8" s="27"/>
      <c r="M8" s="27"/>
      <c r="N8" s="22">
        <f>SUM(M9:M17)</f>
        <v>0.10661939798169513</v>
      </c>
      <c r="O8" s="21">
        <f>(N8+N18+N28)/M2</f>
        <v>0.20130423018168406</v>
      </c>
    </row>
    <row r="9" spans="1:16" x14ac:dyDescent="0.2">
      <c r="A9" t="s">
        <v>195</v>
      </c>
      <c r="B9" s="7" t="s">
        <v>78</v>
      </c>
      <c r="E9">
        <f>0.447482976+0.033290256</f>
        <v>0.48077323199999999</v>
      </c>
      <c r="F9">
        <f>0.1/10000</f>
        <v>1.0000000000000001E-5</v>
      </c>
      <c r="G9" s="2">
        <v>1</v>
      </c>
      <c r="H9">
        <f>E9*F9*G9</f>
        <v>4.8077323200000001E-6</v>
      </c>
      <c r="I9">
        <v>19.280999999999999</v>
      </c>
      <c r="J9" s="10">
        <v>0.33511000000000002</v>
      </c>
      <c r="L9">
        <f t="shared" si="0"/>
        <v>9.2697886861919999E-5</v>
      </c>
      <c r="M9">
        <f t="shared" ref="M9:M17" si="1">100*H9/$E$4/J9</f>
        <v>1.0529999097215302E-4</v>
      </c>
    </row>
    <row r="10" spans="1:16" x14ac:dyDescent="0.2">
      <c r="A10" t="s">
        <v>196</v>
      </c>
      <c r="B10" s="7" t="s">
        <v>79</v>
      </c>
      <c r="E10">
        <f>0.447482976+0.033290256</f>
        <v>0.48077323199999999</v>
      </c>
      <c r="F10">
        <f>7/10000</f>
        <v>6.9999999999999999E-4</v>
      </c>
      <c r="G10" s="2">
        <v>1</v>
      </c>
      <c r="H10">
        <f>E10*F10*G10</f>
        <v>3.3654126239999999E-4</v>
      </c>
      <c r="I10">
        <v>8.907</v>
      </c>
      <c r="J10" s="10">
        <v>1.4235800000000001</v>
      </c>
      <c r="L10">
        <f t="shared" si="0"/>
        <v>2.9975730241967998E-3</v>
      </c>
      <c r="M10">
        <f t="shared" si="1"/>
        <v>1.7351294610963022E-3</v>
      </c>
    </row>
    <row r="11" spans="1:16" x14ac:dyDescent="0.2">
      <c r="A11" t="s">
        <v>76</v>
      </c>
      <c r="B11" t="s">
        <v>62</v>
      </c>
      <c r="C11">
        <f>C17</f>
        <v>4.05</v>
      </c>
      <c r="D11">
        <f>D17</f>
        <v>3.4</v>
      </c>
      <c r="E11">
        <v>11.044</v>
      </c>
      <c r="F11">
        <f>25/10000</f>
        <v>2.5000000000000001E-3</v>
      </c>
      <c r="G11" s="2">
        <v>1</v>
      </c>
      <c r="H11">
        <f>E11*F11*G11</f>
        <v>2.7610000000000003E-2</v>
      </c>
      <c r="I11" s="7">
        <v>1.4</v>
      </c>
      <c r="J11">
        <v>25</v>
      </c>
      <c r="L11">
        <f t="shared" si="0"/>
        <v>3.8654000000000001E-2</v>
      </c>
      <c r="M11">
        <f t="shared" si="1"/>
        <v>8.1059111718671164E-3</v>
      </c>
    </row>
    <row r="12" spans="1:16" x14ac:dyDescent="0.2">
      <c r="A12" t="s">
        <v>20</v>
      </c>
      <c r="B12" t="s">
        <v>63</v>
      </c>
      <c r="E12">
        <f>6.685</f>
        <v>6.6849999999999996</v>
      </c>
      <c r="F12">
        <f>18/10000</f>
        <v>1.8E-3</v>
      </c>
      <c r="G12" s="2">
        <v>1</v>
      </c>
      <c r="H12">
        <f>E12*G12*F12</f>
        <v>1.2032999999999999E-2</v>
      </c>
      <c r="I12">
        <v>8.9329999999999998</v>
      </c>
      <c r="J12" s="10">
        <v>1.4399299999999999</v>
      </c>
      <c r="L12">
        <f t="shared" si="0"/>
        <v>0.10749078899999999</v>
      </c>
      <c r="M12">
        <f t="shared" si="1"/>
        <v>6.1334944824861862E-2</v>
      </c>
    </row>
    <row r="13" spans="1:16" x14ac:dyDescent="0.2">
      <c r="A13" t="s">
        <v>19</v>
      </c>
      <c r="B13" t="s">
        <v>3</v>
      </c>
      <c r="C13">
        <v>4.05</v>
      </c>
      <c r="D13">
        <v>3.4</v>
      </c>
      <c r="E13">
        <f>D13*C13</f>
        <v>13.77</v>
      </c>
      <c r="F13">
        <f>50/10000</f>
        <v>5.0000000000000001E-3</v>
      </c>
      <c r="G13" s="2">
        <v>1</v>
      </c>
      <c r="H13">
        <f>E13*F13*G13</f>
        <v>6.8849999999999995E-2</v>
      </c>
      <c r="I13" s="7">
        <v>1.42</v>
      </c>
      <c r="J13" s="10">
        <v>28.6</v>
      </c>
      <c r="L13">
        <f t="shared" si="0"/>
        <v>9.7766999999999993E-2</v>
      </c>
      <c r="M13">
        <f>100*H13/$E$4/J13</f>
        <v>1.7669056266448855E-2</v>
      </c>
      <c r="O13" s="21"/>
    </row>
    <row r="14" spans="1:16" x14ac:dyDescent="0.2">
      <c r="A14" t="s">
        <v>21</v>
      </c>
      <c r="B14" t="s">
        <v>63</v>
      </c>
      <c r="E14">
        <v>0</v>
      </c>
      <c r="F14">
        <f>18/10000</f>
        <v>1.8E-3</v>
      </c>
      <c r="G14" s="2">
        <v>1</v>
      </c>
      <c r="H14">
        <f>E14*F14*G14</f>
        <v>0</v>
      </c>
      <c r="I14">
        <v>8.9329999999999998</v>
      </c>
      <c r="J14" s="10">
        <v>1.4399299999999999</v>
      </c>
      <c r="L14">
        <f>I14*H14</f>
        <v>0</v>
      </c>
      <c r="M14">
        <f t="shared" si="1"/>
        <v>0</v>
      </c>
    </row>
    <row r="15" spans="1:16" x14ac:dyDescent="0.2">
      <c r="A15" t="s">
        <v>225</v>
      </c>
      <c r="B15" t="s">
        <v>227</v>
      </c>
      <c r="C15">
        <v>4.05</v>
      </c>
      <c r="D15">
        <v>3.4</v>
      </c>
      <c r="E15">
        <f>D15*C15</f>
        <v>13.77</v>
      </c>
      <c r="F15">
        <f>25/10000</f>
        <v>2.5000000000000001E-3</v>
      </c>
      <c r="G15" s="2">
        <v>1</v>
      </c>
      <c r="H15">
        <f>E15*F15*G15</f>
        <v>3.4424999999999997E-2</v>
      </c>
      <c r="I15" s="7">
        <v>1.42</v>
      </c>
      <c r="J15" s="10">
        <v>28.6</v>
      </c>
      <c r="L15">
        <f t="shared" ref="L15:L16" si="2">I15*H15</f>
        <v>4.8883499999999996E-2</v>
      </c>
      <c r="M15">
        <f>100*H15/$E$4/J15</f>
        <v>8.8345281332244275E-3</v>
      </c>
    </row>
    <row r="16" spans="1:16" x14ac:dyDescent="0.2">
      <c r="A16" t="s">
        <v>226</v>
      </c>
      <c r="B16" t="s">
        <v>3</v>
      </c>
      <c r="C16">
        <v>4.05</v>
      </c>
      <c r="D16">
        <v>3.4</v>
      </c>
      <c r="E16">
        <f>D16*C16</f>
        <v>13.77</v>
      </c>
      <c r="F16">
        <f>25/10000</f>
        <v>2.5000000000000001E-3</v>
      </c>
      <c r="G16" s="2">
        <v>1</v>
      </c>
      <c r="H16">
        <f>E16*F16*G16</f>
        <v>3.4424999999999997E-2</v>
      </c>
      <c r="I16" s="7">
        <v>1.42</v>
      </c>
      <c r="J16" s="10">
        <v>28.6</v>
      </c>
      <c r="L16">
        <f t="shared" si="2"/>
        <v>4.8883499999999996E-2</v>
      </c>
      <c r="M16">
        <f>100*H16/$E$4/J16</f>
        <v>8.8345281332244275E-3</v>
      </c>
    </row>
    <row r="17" spans="1:21" x14ac:dyDescent="0.2">
      <c r="A17" t="s">
        <v>77</v>
      </c>
      <c r="B17" t="s">
        <v>62</v>
      </c>
      <c r="C17">
        <f>C13</f>
        <v>4.05</v>
      </c>
      <c r="D17">
        <f>D13</f>
        <v>3.4</v>
      </c>
      <c r="E17">
        <v>0</v>
      </c>
      <c r="F17">
        <f>25/10000</f>
        <v>2.5000000000000001E-3</v>
      </c>
      <c r="G17" s="2">
        <v>1</v>
      </c>
      <c r="H17">
        <f>E17*F17*G17</f>
        <v>0</v>
      </c>
      <c r="I17" s="7">
        <v>1.4</v>
      </c>
      <c r="J17">
        <v>25</v>
      </c>
      <c r="L17">
        <f t="shared" si="0"/>
        <v>0</v>
      </c>
      <c r="M17">
        <f t="shared" si="1"/>
        <v>0</v>
      </c>
      <c r="Q17">
        <f>M2/3.673</f>
        <v>0.18750850209391767</v>
      </c>
    </row>
    <row r="18" spans="1:21" x14ac:dyDescent="0.2">
      <c r="A18" s="3" t="s">
        <v>24</v>
      </c>
      <c r="B18" s="3"/>
      <c r="N18" s="22">
        <f>SUM(M19:M27)</f>
        <v>3.0444100644972993E-2</v>
      </c>
      <c r="O18" s="21">
        <f>N18/M$2</f>
        <v>4.4203968033423108E-2</v>
      </c>
    </row>
    <row r="19" spans="1:21" x14ac:dyDescent="0.2">
      <c r="A19" t="s">
        <v>195</v>
      </c>
      <c r="B19" s="7" t="s">
        <v>78</v>
      </c>
      <c r="E19">
        <v>0.17</v>
      </c>
      <c r="F19">
        <f>F9</f>
        <v>1.0000000000000001E-5</v>
      </c>
      <c r="G19" s="2">
        <v>1</v>
      </c>
      <c r="H19">
        <f t="shared" ref="H19:H27" si="3">E19*F19*G19</f>
        <v>1.7000000000000002E-6</v>
      </c>
      <c r="I19">
        <v>19.280999999999999</v>
      </c>
      <c r="J19" s="10">
        <v>0.33511000000000002</v>
      </c>
      <c r="L19">
        <f t="shared" si="0"/>
        <v>3.2777700000000003E-5</v>
      </c>
      <c r="M19">
        <f t="shared" ref="M19:M26" si="4">100*H19/$E$4/J19</f>
        <v>3.7233766927494033E-5</v>
      </c>
    </row>
    <row r="20" spans="1:21" x14ac:dyDescent="0.2">
      <c r="A20" t="s">
        <v>196</v>
      </c>
      <c r="B20" s="7" t="s">
        <v>79</v>
      </c>
      <c r="E20">
        <v>0.17</v>
      </c>
      <c r="F20">
        <f>F10</f>
        <v>6.9999999999999999E-4</v>
      </c>
      <c r="G20" s="2">
        <v>1</v>
      </c>
      <c r="H20">
        <f t="shared" si="3"/>
        <v>1.1900000000000001E-4</v>
      </c>
      <c r="I20">
        <v>8.907</v>
      </c>
      <c r="J20" s="10">
        <v>1.4235800000000001</v>
      </c>
      <c r="L20">
        <f t="shared" si="0"/>
        <v>1.0599330000000001E-3</v>
      </c>
      <c r="M20">
        <f t="shared" si="4"/>
        <v>6.1353667124789389E-4</v>
      </c>
      <c r="U20" s="34"/>
    </row>
    <row r="21" spans="1:21" x14ac:dyDescent="0.2">
      <c r="A21" t="s">
        <v>241</v>
      </c>
      <c r="B21" s="7" t="s">
        <v>3</v>
      </c>
      <c r="C21">
        <v>1.4</v>
      </c>
      <c r="D21">
        <v>0.7</v>
      </c>
      <c r="E21">
        <f>D21*C21</f>
        <v>0.97999999999999987</v>
      </c>
      <c r="F21">
        <f>25/10000</f>
        <v>2.5000000000000001E-3</v>
      </c>
      <c r="G21" s="2">
        <v>1</v>
      </c>
      <c r="H21">
        <f t="shared" ref="H21:H22" si="5">E21*F21*G21</f>
        <v>2.4499999999999999E-3</v>
      </c>
      <c r="I21" s="7">
        <v>1.42</v>
      </c>
      <c r="J21" s="10">
        <v>28.6</v>
      </c>
      <c r="L21">
        <f t="shared" ref="L21:L22" si="6">I21*H21</f>
        <v>3.4789999999999999E-3</v>
      </c>
      <c r="M21">
        <f>100*H21/$E$4/J21</f>
        <v>6.2874637404211609E-4</v>
      </c>
      <c r="Q21" s="33"/>
      <c r="R21" s="34"/>
      <c r="S21" s="35"/>
      <c r="U21" s="34"/>
    </row>
    <row r="22" spans="1:21" ht="17" thickBot="1" x14ac:dyDescent="0.25">
      <c r="A22" t="s">
        <v>242</v>
      </c>
      <c r="B22" t="s">
        <v>227</v>
      </c>
      <c r="C22">
        <v>1.4</v>
      </c>
      <c r="D22">
        <v>0.7</v>
      </c>
      <c r="E22">
        <f>D22*C22</f>
        <v>0.97999999999999987</v>
      </c>
      <c r="F22">
        <f>25/10000</f>
        <v>2.5000000000000001E-3</v>
      </c>
      <c r="G22" s="2">
        <v>1</v>
      </c>
      <c r="H22">
        <f t="shared" si="5"/>
        <v>2.4499999999999999E-3</v>
      </c>
      <c r="I22" s="7">
        <v>1.42</v>
      </c>
      <c r="J22" s="10">
        <v>28.6</v>
      </c>
      <c r="L22">
        <f t="shared" si="6"/>
        <v>3.4789999999999999E-3</v>
      </c>
      <c r="M22">
        <f>100*H22/$E$4/J22</f>
        <v>6.2874637404211609E-4</v>
      </c>
      <c r="Q22" s="33"/>
      <c r="R22" s="34"/>
      <c r="S22" s="35"/>
      <c r="U22" s="34"/>
    </row>
    <row r="23" spans="1:21" x14ac:dyDescent="0.2">
      <c r="A23" t="s">
        <v>76</v>
      </c>
      <c r="B23" t="s">
        <v>62</v>
      </c>
      <c r="C23">
        <f>C25</f>
        <v>2.4700000000000002</v>
      </c>
      <c r="D23">
        <f>D25</f>
        <v>1.39</v>
      </c>
      <c r="E23">
        <f>3.43</f>
        <v>3.43</v>
      </c>
      <c r="F23">
        <f>F11</f>
        <v>2.5000000000000001E-3</v>
      </c>
      <c r="G23" s="2">
        <v>1</v>
      </c>
      <c r="H23">
        <f t="shared" si="3"/>
        <v>8.575000000000001E-3</v>
      </c>
      <c r="I23" s="7">
        <v>1.4</v>
      </c>
      <c r="J23">
        <v>25</v>
      </c>
      <c r="L23">
        <f t="shared" si="0"/>
        <v>1.2005E-2</v>
      </c>
      <c r="M23">
        <f t="shared" si="4"/>
        <v>2.5175004816646333E-3</v>
      </c>
      <c r="Q23" s="30" t="s">
        <v>188</v>
      </c>
      <c r="R23" s="31"/>
      <c r="S23" s="32"/>
      <c r="U23" s="34"/>
    </row>
    <row r="24" spans="1:21" x14ac:dyDescent="0.2">
      <c r="A24" t="s">
        <v>20</v>
      </c>
      <c r="B24" t="s">
        <v>63</v>
      </c>
      <c r="E24">
        <f>1.25</f>
        <v>1.25</v>
      </c>
      <c r="F24">
        <f>18/10000</f>
        <v>1.8E-3</v>
      </c>
      <c r="G24" s="2">
        <v>1</v>
      </c>
      <c r="H24">
        <f t="shared" si="3"/>
        <v>2.2499999999999998E-3</v>
      </c>
      <c r="I24">
        <v>8.9329999999999998</v>
      </c>
      <c r="J24" s="10">
        <v>1.4399299999999999</v>
      </c>
      <c r="L24">
        <f>I24*H24</f>
        <v>2.0099249999999999E-2</v>
      </c>
      <c r="M24">
        <f t="shared" si="4"/>
        <v>1.1468763056256893E-2</v>
      </c>
      <c r="Q24" s="33"/>
      <c r="R24" s="34"/>
      <c r="S24" s="35"/>
      <c r="U24" s="34"/>
    </row>
    <row r="25" spans="1:21" x14ac:dyDescent="0.2">
      <c r="A25" t="s">
        <v>19</v>
      </c>
      <c r="B25" t="s">
        <v>3</v>
      </c>
      <c r="C25">
        <v>2.4700000000000002</v>
      </c>
      <c r="D25">
        <v>1.39</v>
      </c>
      <c r="E25">
        <f>D25*C25</f>
        <v>3.4333</v>
      </c>
      <c r="F25">
        <f>50/10000</f>
        <v>5.0000000000000001E-3</v>
      </c>
      <c r="G25" s="2">
        <v>1</v>
      </c>
      <c r="H25">
        <f t="shared" si="3"/>
        <v>1.7166500000000001E-2</v>
      </c>
      <c r="I25" s="7">
        <v>1.42</v>
      </c>
      <c r="J25" s="10">
        <v>28.6</v>
      </c>
      <c r="L25">
        <f t="shared" si="0"/>
        <v>2.4376430000000001E-2</v>
      </c>
      <c r="M25">
        <f t="shared" si="4"/>
        <v>4.4054590326506066E-3</v>
      </c>
      <c r="Q25" s="33" t="s">
        <v>189</v>
      </c>
      <c r="R25" s="34"/>
      <c r="S25" s="35"/>
      <c r="U25" s="34"/>
    </row>
    <row r="26" spans="1:21" x14ac:dyDescent="0.2">
      <c r="A26" t="s">
        <v>21</v>
      </c>
      <c r="B26" t="s">
        <v>63</v>
      </c>
      <c r="E26">
        <f>0.13095 *2.54*2.54</f>
        <v>0.84483702000000016</v>
      </c>
      <c r="F26">
        <f>18/10000</f>
        <v>1.8E-3</v>
      </c>
      <c r="G26" s="2">
        <v>1</v>
      </c>
      <c r="H26">
        <f t="shared" si="3"/>
        <v>1.5207066360000002E-3</v>
      </c>
      <c r="I26">
        <v>8.9329999999999998</v>
      </c>
      <c r="J26" s="10">
        <v>1.4399299999999999</v>
      </c>
      <c r="L26">
        <f t="shared" si="0"/>
        <v>1.3584472379388002E-2</v>
      </c>
      <c r="M26">
        <f t="shared" si="4"/>
        <v>7.7513884828273342E-3</v>
      </c>
      <c r="Q26" s="33" t="s">
        <v>190</v>
      </c>
      <c r="R26" s="34"/>
      <c r="S26" s="35"/>
      <c r="U26" s="34"/>
    </row>
    <row r="27" spans="1:21" ht="17" thickBot="1" x14ac:dyDescent="0.25">
      <c r="A27" t="s">
        <v>77</v>
      </c>
      <c r="B27" t="s">
        <v>62</v>
      </c>
      <c r="C27">
        <f>C25</f>
        <v>2.4700000000000002</v>
      </c>
      <c r="D27">
        <f>D25</f>
        <v>1.39</v>
      </c>
      <c r="E27">
        <f>3.26</f>
        <v>3.26</v>
      </c>
      <c r="F27">
        <f>F17</f>
        <v>2.5000000000000001E-3</v>
      </c>
      <c r="G27" s="2">
        <v>1</v>
      </c>
      <c r="H27">
        <f t="shared" si="3"/>
        <v>8.1499999999999993E-3</v>
      </c>
      <c r="I27" s="7">
        <v>1.4</v>
      </c>
      <c r="J27">
        <v>25</v>
      </c>
      <c r="L27">
        <f t="shared" si="0"/>
        <v>1.1409999999999998E-2</v>
      </c>
      <c r="M27">
        <f>100*H27/$E$4/J27</f>
        <v>2.3927264053139074E-3</v>
      </c>
      <c r="Q27" s="36" t="s">
        <v>191</v>
      </c>
      <c r="R27" s="37"/>
      <c r="S27" s="38"/>
      <c r="T27" s="34"/>
      <c r="U27" s="34"/>
    </row>
    <row r="28" spans="1:21" x14ac:dyDescent="0.2">
      <c r="A28" s="3" t="s">
        <v>53</v>
      </c>
      <c r="B28" s="3"/>
      <c r="N28" s="22">
        <f>M31+M30</f>
        <v>1.5784947635215116E-3</v>
      </c>
      <c r="O28" s="21">
        <f>N28/M$2</f>
        <v>2.2919294900948964E-3</v>
      </c>
      <c r="R28" s="34"/>
      <c r="S28" s="34"/>
      <c r="T28" s="34"/>
      <c r="U28" s="34"/>
    </row>
    <row r="29" spans="1:21" x14ac:dyDescent="0.2">
      <c r="A29" s="3"/>
      <c r="B29" s="3"/>
      <c r="C29" t="s">
        <v>206</v>
      </c>
      <c r="D29" t="s">
        <v>57</v>
      </c>
      <c r="E29" t="s">
        <v>69</v>
      </c>
      <c r="F29" t="s">
        <v>207</v>
      </c>
      <c r="G29" t="s">
        <v>208</v>
      </c>
      <c r="H29" t="s">
        <v>1</v>
      </c>
      <c r="I29" t="s">
        <v>17</v>
      </c>
      <c r="J29" t="s">
        <v>58</v>
      </c>
      <c r="N29" s="22"/>
      <c r="R29" s="34"/>
      <c r="S29" s="34"/>
      <c r="T29" s="34"/>
      <c r="U29" s="34"/>
    </row>
    <row r="30" spans="1:21" x14ac:dyDescent="0.2">
      <c r="A30" s="7" t="s">
        <v>204</v>
      </c>
      <c r="B30" t="s">
        <v>63</v>
      </c>
      <c r="E30">
        <f>E31</f>
        <v>43</v>
      </c>
      <c r="F30">
        <f>30/10000</f>
        <v>3.0000000000000001E-3</v>
      </c>
      <c r="G30" s="20">
        <f>700/10000</f>
        <v>7.0000000000000007E-2</v>
      </c>
      <c r="H30">
        <f>E30*F30*PI()*((G30/2)^2-((G30-C31)/2+F31))^2</f>
        <v>1.7491282250923454E-4</v>
      </c>
      <c r="I30">
        <v>8.9329999999999998</v>
      </c>
      <c r="J30" s="10">
        <v>1.4399299999999999</v>
      </c>
      <c r="L30">
        <f>I30*H30</f>
        <v>1.5624962434749921E-3</v>
      </c>
      <c r="M30">
        <f>100*H30/$E$4/J30</f>
        <v>8.9157054082645714E-4</v>
      </c>
      <c r="N30" s="22"/>
      <c r="P30" t="s">
        <v>210</v>
      </c>
      <c r="R30" s="34"/>
      <c r="S30" s="34"/>
      <c r="T30" s="34"/>
      <c r="U30" s="34"/>
    </row>
    <row r="31" spans="1:21" x14ac:dyDescent="0.2">
      <c r="A31" s="7" t="s">
        <v>205</v>
      </c>
      <c r="B31" t="s">
        <v>63</v>
      </c>
      <c r="C31">
        <f>300/10000</f>
        <v>0.03</v>
      </c>
      <c r="D31">
        <f>F24+F25+F26</f>
        <v>8.6E-3</v>
      </c>
      <c r="E31">
        <v>43</v>
      </c>
      <c r="F31">
        <f>20/10000</f>
        <v>2E-3</v>
      </c>
      <c r="H31">
        <f>E31*D31*PI()*(C31^2-(C31-F31)^2)</f>
        <v>1.3476427174251076E-4</v>
      </c>
      <c r="I31">
        <v>8.9329999999999998</v>
      </c>
      <c r="J31" s="10">
        <v>1.4399299999999999</v>
      </c>
      <c r="L31">
        <f t="shared" si="0"/>
        <v>1.2038492394758485E-3</v>
      </c>
      <c r="M31">
        <f>100*H31/$E$4/J31</f>
        <v>6.8692422269505445E-4</v>
      </c>
      <c r="P31" t="s">
        <v>209</v>
      </c>
    </row>
    <row r="32" spans="1:21" x14ac:dyDescent="0.2">
      <c r="A32" s="3" t="s">
        <v>14</v>
      </c>
      <c r="C32" t="s">
        <v>56</v>
      </c>
      <c r="D32" t="s">
        <v>57</v>
      </c>
      <c r="E32" t="s">
        <v>65</v>
      </c>
      <c r="F32" t="s">
        <v>66</v>
      </c>
      <c r="G32" t="s">
        <v>64</v>
      </c>
      <c r="H32" t="s">
        <v>75</v>
      </c>
      <c r="I32" t="s">
        <v>1</v>
      </c>
      <c r="J32" t="s">
        <v>17</v>
      </c>
      <c r="K32" t="s">
        <v>58</v>
      </c>
      <c r="N32" s="22">
        <f>SUM(M33:M35)</f>
        <v>2.9608797481929867E-2</v>
      </c>
      <c r="O32" s="21">
        <f>N32/M$2</f>
        <v>4.299113160419285E-2</v>
      </c>
    </row>
    <row r="33" spans="1:16" x14ac:dyDescent="0.2">
      <c r="A33" s="7" t="s">
        <v>54</v>
      </c>
      <c r="B33" s="7" t="s">
        <v>63</v>
      </c>
      <c r="C33">
        <f>30/10000</f>
        <v>3.0000000000000001E-3</v>
      </c>
      <c r="D33">
        <f>10/10000</f>
        <v>1E-3</v>
      </c>
      <c r="E33">
        <f>80*5</f>
        <v>400</v>
      </c>
      <c r="F33">
        <v>336</v>
      </c>
      <c r="G33">
        <f>F33*E33*4</f>
        <v>537600</v>
      </c>
      <c r="H33" s="9">
        <v>1</v>
      </c>
      <c r="I33">
        <f>G33*D33*PI()*(C33/2)^2*H33</f>
        <v>3.800070473782214E-3</v>
      </c>
      <c r="J33">
        <v>8.9329999999999998</v>
      </c>
      <c r="K33" s="10">
        <v>1.4399299999999999</v>
      </c>
      <c r="L33">
        <f>I33*J33</f>
        <v>3.3946029542296516E-2</v>
      </c>
      <c r="M33">
        <f>100*I33/$E$4/K33</f>
        <v>1.9369825715949369E-2</v>
      </c>
      <c r="P33" s="9" t="s">
        <v>211</v>
      </c>
    </row>
    <row r="34" spans="1:16" x14ac:dyDescent="0.2">
      <c r="A34" s="7" t="s">
        <v>55</v>
      </c>
      <c r="B34" s="7" t="s">
        <v>74</v>
      </c>
      <c r="C34">
        <v>3.0000000000000001E-3</v>
      </c>
      <c r="D34">
        <f>8/10000</f>
        <v>8.0000000000000004E-4</v>
      </c>
      <c r="E34">
        <f>E33</f>
        <v>400</v>
      </c>
      <c r="F34">
        <f>F33</f>
        <v>336</v>
      </c>
      <c r="G34">
        <f>F34*E34*4</f>
        <v>537600</v>
      </c>
      <c r="H34" s="9">
        <v>0.96499999999999997</v>
      </c>
      <c r="I34">
        <f>G34*H34*PI()/6*D34*(3*(C34/2)^2+D34^2)</f>
        <v>1.6059041524863283E-3</v>
      </c>
      <c r="J34">
        <v>7.2850000000000001</v>
      </c>
      <c r="K34" s="10">
        <v>1.2103200000000001</v>
      </c>
      <c r="L34">
        <f>I34*J34</f>
        <v>1.1699011750862902E-2</v>
      </c>
      <c r="M34">
        <f>100*I34/$E$4/K34</f>
        <v>9.7385624479610564E-3</v>
      </c>
      <c r="P34" t="s">
        <v>212</v>
      </c>
    </row>
    <row r="35" spans="1:16" x14ac:dyDescent="0.2">
      <c r="B35" s="7" t="s">
        <v>73</v>
      </c>
      <c r="C35">
        <f>C34</f>
        <v>3.0000000000000001E-3</v>
      </c>
      <c r="D35">
        <f>D34</f>
        <v>8.0000000000000004E-4</v>
      </c>
      <c r="E35">
        <f>E34</f>
        <v>400</v>
      </c>
      <c r="F35">
        <f>F34</f>
        <v>336</v>
      </c>
      <c r="G35">
        <f>G34</f>
        <v>537600</v>
      </c>
      <c r="H35" s="9">
        <v>3.5000000000000003E-2</v>
      </c>
      <c r="I35">
        <f>G35*H35*PI()/6*D35*(3*(C35/2)^2+D35^2)</f>
        <v>5.8245228328519688E-5</v>
      </c>
      <c r="J35">
        <v>10.5</v>
      </c>
      <c r="K35" s="10">
        <v>0.85429999999999995</v>
      </c>
      <c r="L35">
        <f>I35*J35</f>
        <v>6.1157489744945669E-4</v>
      </c>
      <c r="M35">
        <f>100*I35/$E$4/K35</f>
        <v>5.0040931801944091E-4</v>
      </c>
    </row>
    <row r="36" spans="1:16" x14ac:dyDescent="0.2">
      <c r="A36" s="3" t="s">
        <v>201</v>
      </c>
      <c r="B36" s="7"/>
      <c r="H36" t="s">
        <v>1</v>
      </c>
      <c r="I36" t="s">
        <v>17</v>
      </c>
      <c r="J36" t="s">
        <v>58</v>
      </c>
      <c r="K36" s="10"/>
      <c r="N36" s="22">
        <f>M37</f>
        <v>3.180948751319791E-3</v>
      </c>
      <c r="O36" s="21">
        <f>N36/M2</f>
        <v>4.6186470922245865E-3</v>
      </c>
    </row>
    <row r="37" spans="1:16" x14ac:dyDescent="0.2">
      <c r="A37" s="7" t="s">
        <v>137</v>
      </c>
      <c r="B37" t="s">
        <v>199</v>
      </c>
      <c r="C37">
        <v>0.5</v>
      </c>
      <c r="D37">
        <v>0.5</v>
      </c>
      <c r="E37">
        <f>D37*C37</f>
        <v>0.25</v>
      </c>
      <c r="F37" s="26">
        <v>1.4999999999999999E-2</v>
      </c>
      <c r="G37" s="2">
        <v>1</v>
      </c>
      <c r="H37">
        <f>E37*F37*G37</f>
        <v>3.7499999999999999E-3</v>
      </c>
      <c r="I37">
        <v>2.3290000000000002</v>
      </c>
      <c r="J37" s="10">
        <f>ROIC!H25</f>
        <v>8.6526679504786959</v>
      </c>
      <c r="L37">
        <f>I37*H37</f>
        <v>8.7337500000000002E-3</v>
      </c>
      <c r="M37">
        <f>100*H37/$E$4/J37</f>
        <v>3.180948751319791E-3</v>
      </c>
    </row>
    <row r="38" spans="1:16" x14ac:dyDescent="0.2">
      <c r="A38" s="3" t="s">
        <v>22</v>
      </c>
      <c r="F38" s="26"/>
      <c r="G38" s="2"/>
      <c r="H38" s="9"/>
      <c r="K38" s="10"/>
      <c r="N38" s="22">
        <f>M40</f>
        <v>1.4168483824320642E-3</v>
      </c>
      <c r="O38" s="21">
        <f>N38/M2</f>
        <v>2.0572235434248532E-3</v>
      </c>
    </row>
    <row r="39" spans="1:16" x14ac:dyDescent="0.2">
      <c r="D39" t="s">
        <v>97</v>
      </c>
      <c r="E39" s="18" t="s">
        <v>96</v>
      </c>
      <c r="G39" t="s">
        <v>64</v>
      </c>
      <c r="H39" t="s">
        <v>1</v>
      </c>
      <c r="I39" t="s">
        <v>17</v>
      </c>
      <c r="J39" t="s">
        <v>58</v>
      </c>
      <c r="K39" s="10"/>
    </row>
    <row r="40" spans="1:16" x14ac:dyDescent="0.2">
      <c r="A40" s="17" t="s">
        <v>94</v>
      </c>
      <c r="B40" s="17" t="s">
        <v>95</v>
      </c>
      <c r="C40" s="18">
        <f>25/10000</f>
        <v>2.5000000000000001E-3</v>
      </c>
      <c r="D40" s="18">
        <v>0.5</v>
      </c>
      <c r="E40">
        <v>200</v>
      </c>
      <c r="F40" s="19"/>
      <c r="G40">
        <v>700</v>
      </c>
      <c r="H40">
        <f>G40*D40*PI()*(C40/2)^2</f>
        <v>1.7180584824319182E-3</v>
      </c>
      <c r="I40">
        <v>2.7</v>
      </c>
      <c r="J40" s="10">
        <v>8.9</v>
      </c>
      <c r="L40">
        <f>H40*I40</f>
        <v>4.6387579025661792E-3</v>
      </c>
      <c r="M40">
        <f>100*H40/$E$4/J40</f>
        <v>1.4168483824320642E-3</v>
      </c>
    </row>
    <row r="41" spans="1:16" x14ac:dyDescent="0.2">
      <c r="A41" s="3" t="s">
        <v>27</v>
      </c>
      <c r="B41" s="17"/>
      <c r="C41" s="18"/>
      <c r="D41" s="18"/>
      <c r="F41" s="19"/>
      <c r="K41" s="10"/>
      <c r="N41" s="22">
        <f>SUM(M44:M54)</f>
        <v>0.14012828944993469</v>
      </c>
      <c r="O41" s="21">
        <f>N41/M2</f>
        <v>0.20346228977685302</v>
      </c>
    </row>
    <row r="42" spans="1:16" x14ac:dyDescent="0.2">
      <c r="B42" s="3"/>
      <c r="C42" t="s">
        <v>128</v>
      </c>
      <c r="D42" t="s">
        <v>126</v>
      </c>
      <c r="E42" t="s">
        <v>126</v>
      </c>
      <c r="F42" t="s">
        <v>126</v>
      </c>
      <c r="G42" t="s">
        <v>127</v>
      </c>
    </row>
    <row r="43" spans="1:16" x14ac:dyDescent="0.2">
      <c r="A43" s="14" t="s">
        <v>91</v>
      </c>
      <c r="B43" s="14" t="s">
        <v>92</v>
      </c>
      <c r="C43" t="s">
        <v>102</v>
      </c>
      <c r="D43" s="15" t="s">
        <v>5</v>
      </c>
      <c r="E43" s="15" t="s">
        <v>4</v>
      </c>
      <c r="F43" s="15" t="s">
        <v>93</v>
      </c>
      <c r="G43" s="15" t="s">
        <v>101</v>
      </c>
      <c r="H43" s="15" t="s">
        <v>69</v>
      </c>
      <c r="I43" s="15" t="s">
        <v>180</v>
      </c>
      <c r="J43" s="15" t="s">
        <v>58</v>
      </c>
    </row>
    <row r="44" spans="1:16" ht="17" x14ac:dyDescent="0.25">
      <c r="A44" s="43" t="s">
        <v>81</v>
      </c>
      <c r="B44" s="12" t="s">
        <v>82</v>
      </c>
      <c r="C44">
        <f>2*1*1.8</f>
        <v>3.6</v>
      </c>
      <c r="D44" s="13">
        <v>3.2</v>
      </c>
      <c r="E44" s="13">
        <v>1.6</v>
      </c>
      <c r="F44" s="13">
        <v>1.52</v>
      </c>
      <c r="G44" s="16">
        <f>D44*E44*F44</f>
        <v>7.7824000000000018</v>
      </c>
      <c r="H44" s="24">
        <f>C64</f>
        <v>1</v>
      </c>
      <c r="I44">
        <f>H44*G44/10/10/10</f>
        <v>7.7824000000000018E-3</v>
      </c>
      <c r="J44" s="13">
        <v>1.84</v>
      </c>
      <c r="L44">
        <f>I44*H44</f>
        <v>7.7824000000000018E-3</v>
      </c>
      <c r="M44">
        <f>100*I44/J44/$E$4</f>
        <v>3.1043534903832621E-2</v>
      </c>
      <c r="O44" s="9">
        <f t="shared" ref="O44:O50" si="7">M44/$M$2</f>
        <v>4.5074329524004531E-2</v>
      </c>
    </row>
    <row r="45" spans="1:16" ht="17" x14ac:dyDescent="0.25">
      <c r="A45" s="42" t="s">
        <v>83</v>
      </c>
      <c r="B45" s="12" t="s">
        <v>82</v>
      </c>
      <c r="C45">
        <f>2*0.6*1.05</f>
        <v>1.26</v>
      </c>
      <c r="D45" s="13">
        <v>1.6</v>
      </c>
      <c r="E45" s="13">
        <v>0.8</v>
      </c>
      <c r="F45" s="13">
        <v>0.9</v>
      </c>
      <c r="G45" s="16">
        <f t="shared" ref="G45:G50" si="8">D45*E45*F45</f>
        <v>1.1520000000000004</v>
      </c>
      <c r="H45" s="24">
        <f>0</f>
        <v>0</v>
      </c>
      <c r="I45">
        <f t="shared" ref="I45:I50" si="9">H45*G45/10/10/10</f>
        <v>0</v>
      </c>
      <c r="J45" s="13">
        <v>1.84</v>
      </c>
      <c r="L45">
        <f t="shared" si="0"/>
        <v>0</v>
      </c>
      <c r="M45">
        <f t="shared" ref="M45:M52" si="10">100*I45/J45/$E$4</f>
        <v>0</v>
      </c>
      <c r="O45" s="9">
        <f t="shared" si="7"/>
        <v>0</v>
      </c>
    </row>
    <row r="46" spans="1:16" ht="17" x14ac:dyDescent="0.25">
      <c r="A46" s="43" t="s">
        <v>84</v>
      </c>
      <c r="B46" s="12" t="s">
        <v>82</v>
      </c>
      <c r="C46">
        <f>2*0.5*0.6</f>
        <v>0.6</v>
      </c>
      <c r="D46" s="13">
        <v>1</v>
      </c>
      <c r="E46" s="13">
        <v>0.5</v>
      </c>
      <c r="F46" s="13">
        <v>0.5</v>
      </c>
      <c r="G46" s="16">
        <f t="shared" si="8"/>
        <v>0.25</v>
      </c>
      <c r="H46" s="24">
        <f>10*4+5</f>
        <v>45</v>
      </c>
      <c r="I46">
        <f t="shared" si="9"/>
        <v>1.125E-2</v>
      </c>
      <c r="J46" s="13">
        <v>1.84</v>
      </c>
      <c r="L46">
        <f t="shared" si="0"/>
        <v>0.50624999999999998</v>
      </c>
      <c r="M46">
        <f t="shared" si="10"/>
        <v>4.4875586922815187E-2</v>
      </c>
      <c r="O46" s="9">
        <f t="shared" si="7"/>
        <v>6.5158075548037986E-2</v>
      </c>
    </row>
    <row r="47" spans="1:16" ht="17" x14ac:dyDescent="0.25">
      <c r="A47" s="42" t="s">
        <v>85</v>
      </c>
      <c r="B47" s="12" t="s">
        <v>82</v>
      </c>
      <c r="C47">
        <f>4*0.46*0.3</f>
        <v>0.55200000000000005</v>
      </c>
      <c r="D47" s="13">
        <v>1</v>
      </c>
      <c r="E47" s="13">
        <v>1.37</v>
      </c>
      <c r="F47" s="13">
        <v>0.66</v>
      </c>
      <c r="G47" s="16">
        <f t="shared" si="8"/>
        <v>0.90420000000000011</v>
      </c>
      <c r="H47" s="24">
        <v>0</v>
      </c>
      <c r="I47">
        <f t="shared" si="9"/>
        <v>0</v>
      </c>
      <c r="J47" s="13">
        <v>1.84</v>
      </c>
      <c r="L47">
        <f t="shared" si="0"/>
        <v>0</v>
      </c>
      <c r="M47">
        <f t="shared" si="10"/>
        <v>0</v>
      </c>
      <c r="O47" s="9">
        <f t="shared" si="7"/>
        <v>0</v>
      </c>
    </row>
    <row r="48" spans="1:16" ht="17" x14ac:dyDescent="0.25">
      <c r="A48" s="42" t="s">
        <v>86</v>
      </c>
      <c r="B48" s="12" t="s">
        <v>82</v>
      </c>
      <c r="C48">
        <f>8*0.56*0.3</f>
        <v>1.3440000000000001</v>
      </c>
      <c r="D48" s="13">
        <v>1.3</v>
      </c>
      <c r="E48" s="13">
        <v>2.1</v>
      </c>
      <c r="F48" s="13">
        <v>0.55000000000000004</v>
      </c>
      <c r="G48" s="16">
        <f t="shared" si="8"/>
        <v>1.5015000000000003</v>
      </c>
      <c r="H48" s="24">
        <v>0</v>
      </c>
      <c r="I48">
        <f t="shared" si="9"/>
        <v>0</v>
      </c>
      <c r="J48" s="13">
        <v>1.84</v>
      </c>
      <c r="L48">
        <f t="shared" si="0"/>
        <v>0</v>
      </c>
      <c r="M48">
        <f t="shared" si="10"/>
        <v>0</v>
      </c>
      <c r="O48" s="9">
        <f t="shared" si="7"/>
        <v>0</v>
      </c>
    </row>
    <row r="49" spans="1:18" ht="17" x14ac:dyDescent="0.25">
      <c r="A49" s="43" t="s">
        <v>87</v>
      </c>
      <c r="B49" s="12" t="s">
        <v>88</v>
      </c>
      <c r="C49">
        <f>2*0.5*0.6</f>
        <v>0.6</v>
      </c>
      <c r="D49" s="13">
        <v>1</v>
      </c>
      <c r="E49" s="13">
        <v>0.5</v>
      </c>
      <c r="F49" s="13">
        <v>0.3</v>
      </c>
      <c r="G49" s="16">
        <f t="shared" si="8"/>
        <v>0.15</v>
      </c>
      <c r="H49" s="24">
        <f>6*4+1</f>
        <v>25</v>
      </c>
      <c r="I49">
        <f t="shared" si="9"/>
        <v>3.7499999999999999E-3</v>
      </c>
      <c r="J49" s="13">
        <v>3.9</v>
      </c>
      <c r="L49">
        <f t="shared" si="0"/>
        <v>9.375E-2</v>
      </c>
      <c r="M49">
        <f t="shared" si="10"/>
        <v>7.057357259656406E-3</v>
      </c>
      <c r="O49" s="9">
        <f t="shared" si="7"/>
        <v>1.0247081966529053E-2</v>
      </c>
      <c r="P49" t="s">
        <v>104</v>
      </c>
    </row>
    <row r="50" spans="1:18" ht="17" x14ac:dyDescent="0.25">
      <c r="A50" s="42" t="s">
        <v>89</v>
      </c>
      <c r="B50" s="12" t="s">
        <v>88</v>
      </c>
      <c r="C50">
        <f>2*0.6*1.05</f>
        <v>1.26</v>
      </c>
      <c r="D50" s="13">
        <v>1.6</v>
      </c>
      <c r="E50" s="13">
        <v>0.8</v>
      </c>
      <c r="F50" s="13">
        <v>0.45</v>
      </c>
      <c r="G50" s="16">
        <f t="shared" si="8"/>
        <v>0.57600000000000018</v>
      </c>
      <c r="H50" s="24">
        <v>0</v>
      </c>
      <c r="I50">
        <f t="shared" si="9"/>
        <v>0</v>
      </c>
      <c r="J50" s="13">
        <v>3.9</v>
      </c>
      <c r="L50">
        <f t="shared" si="0"/>
        <v>0</v>
      </c>
      <c r="M50">
        <f t="shared" si="10"/>
        <v>0</v>
      </c>
      <c r="O50" s="9">
        <f t="shared" si="7"/>
        <v>0</v>
      </c>
    </row>
    <row r="51" spans="1:18" x14ac:dyDescent="0.2">
      <c r="A51" s="42" t="s">
        <v>90</v>
      </c>
      <c r="B51" t="s">
        <v>235</v>
      </c>
      <c r="C51" t="s">
        <v>103</v>
      </c>
      <c r="D51" s="13">
        <v>1</v>
      </c>
      <c r="E51" s="13">
        <f>SUMPRODUCT(C44:C50,H44:H50)+SUMPRODUCT(C52:C54,H52:H54)</f>
        <v>55.52</v>
      </c>
      <c r="F51" s="13">
        <f>5*0.025</f>
        <v>0.125</v>
      </c>
      <c r="G51" s="16"/>
      <c r="H51" s="24">
        <v>1</v>
      </c>
      <c r="I51">
        <f>F51*E51/10/10/10</f>
        <v>6.94E-3</v>
      </c>
      <c r="J51" s="13">
        <f>F70</f>
        <v>1.180154411260975</v>
      </c>
      <c r="L51">
        <f t="shared" si="0"/>
        <v>6.94E-3</v>
      </c>
      <c r="M51">
        <f t="shared" si="10"/>
        <v>4.3161455205569715E-2</v>
      </c>
      <c r="O51" s="9">
        <f>M51/$M$2</f>
        <v>6.266920505986652E-2</v>
      </c>
      <c r="P51" t="s">
        <v>183</v>
      </c>
      <c r="Q51" s="2">
        <f>C54/E51</f>
        <v>0.14301152737752162</v>
      </c>
      <c r="R51" t="s">
        <v>184</v>
      </c>
    </row>
    <row r="52" spans="1:18" ht="17" x14ac:dyDescent="0.25">
      <c r="A52" s="43" t="s">
        <v>240</v>
      </c>
      <c r="B52" s="12" t="s">
        <v>88</v>
      </c>
      <c r="C52">
        <f>8*0.1*0.2</f>
        <v>0.16000000000000003</v>
      </c>
      <c r="D52" s="13">
        <v>1.4</v>
      </c>
      <c r="E52" s="13">
        <v>0.6</v>
      </c>
      <c r="F52" s="25">
        <v>0.35</v>
      </c>
      <c r="G52" s="16">
        <f>D52*E52*F52</f>
        <v>0.29399999999999998</v>
      </c>
      <c r="H52" s="24">
        <v>1</v>
      </c>
      <c r="I52">
        <f>H52*G52/10/10/10</f>
        <v>2.9399999999999999E-4</v>
      </c>
      <c r="J52" s="13">
        <v>3.9</v>
      </c>
      <c r="L52">
        <f t="shared" si="0"/>
        <v>2.9399999999999999E-4</v>
      </c>
      <c r="M52">
        <f t="shared" si="10"/>
        <v>5.532968091570622E-4</v>
      </c>
      <c r="O52" s="9">
        <f t="shared" ref="O52:O54" si="11">M52/$M$2</f>
        <v>8.0337122617587771E-4</v>
      </c>
    </row>
    <row r="53" spans="1:18" ht="17" x14ac:dyDescent="0.25">
      <c r="A53" s="43" t="s">
        <v>100</v>
      </c>
      <c r="B53" s="12" t="s">
        <v>88</v>
      </c>
      <c r="C53">
        <f>2*0.7*1.3</f>
        <v>1.8199999999999998</v>
      </c>
      <c r="D53" s="13">
        <v>2</v>
      </c>
      <c r="E53" s="13">
        <v>1.25</v>
      </c>
      <c r="F53" s="13">
        <v>0.45</v>
      </c>
      <c r="G53" s="16">
        <f>D53*E53*F53</f>
        <v>1.125</v>
      </c>
      <c r="H53" s="24">
        <f>C61</f>
        <v>1</v>
      </c>
      <c r="I53">
        <f>H53*G53/10/10/10</f>
        <v>1.1249999999999999E-3</v>
      </c>
      <c r="J53" s="13">
        <v>3.9</v>
      </c>
      <c r="L53">
        <f t="shared" si="0"/>
        <v>1.1249999999999999E-3</v>
      </c>
      <c r="M53">
        <f>100*I53/J53/$E$4</f>
        <v>2.1172071778969214E-3</v>
      </c>
      <c r="O53" s="9">
        <f t="shared" si="11"/>
        <v>3.0741245899587153E-3</v>
      </c>
    </row>
    <row r="54" spans="1:18" x14ac:dyDescent="0.2">
      <c r="A54" t="s">
        <v>26</v>
      </c>
      <c r="B54" s="12" t="s">
        <v>181</v>
      </c>
      <c r="C54">
        <f>7.94</f>
        <v>7.94</v>
      </c>
      <c r="G54" s="16"/>
      <c r="H54" s="24">
        <v>1</v>
      </c>
      <c r="I54">
        <f>H54*Connector!D15</f>
        <v>6.4523060561961264E-3</v>
      </c>
      <c r="J54">
        <f>Connector!B22</f>
        <v>4.1835954758844718</v>
      </c>
      <c r="L54">
        <f t="shared" si="0"/>
        <v>6.4523060561961264E-3</v>
      </c>
      <c r="M54">
        <f>100*I54/J54/$E$4</f>
        <v>1.1319851171006791E-2</v>
      </c>
      <c r="O54" s="9">
        <f t="shared" si="11"/>
        <v>1.643610186228036E-2</v>
      </c>
      <c r="P54" t="s">
        <v>182</v>
      </c>
    </row>
    <row r="55" spans="1:18" x14ac:dyDescent="0.2">
      <c r="E55" s="13"/>
      <c r="H55" s="24"/>
      <c r="J55" s="13"/>
    </row>
    <row r="56" spans="1:18" x14ac:dyDescent="0.2">
      <c r="A56" s="4" t="s">
        <v>28</v>
      </c>
      <c r="B56" s="4"/>
      <c r="C56" s="4" t="s">
        <v>29</v>
      </c>
      <c r="D56" s="4" t="s">
        <v>30</v>
      </c>
      <c r="E56" s="4" t="s">
        <v>31</v>
      </c>
      <c r="F56" s="4" t="s">
        <v>32</v>
      </c>
      <c r="G56" s="4" t="s">
        <v>33</v>
      </c>
      <c r="K56" t="s">
        <v>234</v>
      </c>
      <c r="L56">
        <f>SUM(L44:L54)</f>
        <v>0.62259370605619613</v>
      </c>
    </row>
    <row r="57" spans="1:18" x14ac:dyDescent="0.2">
      <c r="A57" s="5">
        <v>1</v>
      </c>
      <c r="B57" s="5"/>
      <c r="C57" s="23">
        <v>16</v>
      </c>
      <c r="D57" s="5" t="s">
        <v>34</v>
      </c>
      <c r="E57" s="6" t="s">
        <v>35</v>
      </c>
      <c r="F57" s="5">
        <v>2072741</v>
      </c>
      <c r="G57" s="5" t="s">
        <v>36</v>
      </c>
    </row>
    <row r="58" spans="1:18" x14ac:dyDescent="0.2">
      <c r="A58" s="5">
        <v>2</v>
      </c>
      <c r="B58" s="5"/>
      <c r="C58" s="23">
        <v>1</v>
      </c>
      <c r="D58" s="5" t="s">
        <v>37</v>
      </c>
      <c r="E58" s="6" t="s">
        <v>38</v>
      </c>
      <c r="F58" s="5"/>
      <c r="G58" s="5" t="s">
        <v>39</v>
      </c>
    </row>
    <row r="59" spans="1:18" x14ac:dyDescent="0.2">
      <c r="A59" s="5">
        <v>3</v>
      </c>
      <c r="B59" s="5"/>
      <c r="C59" s="23">
        <v>1</v>
      </c>
      <c r="D59" s="5" t="s">
        <v>40</v>
      </c>
      <c r="E59" s="6" t="s">
        <v>38</v>
      </c>
      <c r="F59" s="5"/>
      <c r="G59" s="5" t="s">
        <v>41</v>
      </c>
    </row>
    <row r="60" spans="1:18" x14ac:dyDescent="0.2">
      <c r="A60" s="5">
        <v>4</v>
      </c>
      <c r="B60" s="5"/>
      <c r="C60" s="23">
        <v>1</v>
      </c>
      <c r="D60" s="5" t="s">
        <v>40</v>
      </c>
      <c r="E60" s="6" t="s">
        <v>35</v>
      </c>
      <c r="F60" s="5">
        <v>2072523</v>
      </c>
      <c r="G60" s="5" t="s">
        <v>42</v>
      </c>
    </row>
    <row r="61" spans="1:18" x14ac:dyDescent="0.2">
      <c r="A61" s="5">
        <v>5</v>
      </c>
      <c r="B61" s="5"/>
      <c r="C61" s="23">
        <v>1</v>
      </c>
      <c r="D61" s="5" t="s">
        <v>40</v>
      </c>
      <c r="E61" s="6" t="s">
        <v>43</v>
      </c>
      <c r="F61" s="5">
        <v>2073611</v>
      </c>
      <c r="G61" s="5" t="s">
        <v>44</v>
      </c>
    </row>
    <row r="62" spans="1:18" x14ac:dyDescent="0.2">
      <c r="A62" s="5">
        <v>6</v>
      </c>
      <c r="B62" s="5"/>
      <c r="C62" s="23">
        <v>8</v>
      </c>
      <c r="D62" s="5" t="s">
        <v>45</v>
      </c>
      <c r="E62" s="6" t="s">
        <v>35</v>
      </c>
      <c r="F62" s="5">
        <v>2059229</v>
      </c>
      <c r="G62" s="5" t="s">
        <v>46</v>
      </c>
    </row>
    <row r="63" spans="1:18" x14ac:dyDescent="0.2">
      <c r="A63" s="5">
        <v>7</v>
      </c>
      <c r="B63" s="5"/>
      <c r="C63" s="23">
        <v>1</v>
      </c>
      <c r="D63" s="5" t="s">
        <v>47</v>
      </c>
      <c r="E63" s="6" t="s">
        <v>35</v>
      </c>
      <c r="F63" s="5">
        <v>1892596</v>
      </c>
      <c r="G63" s="5" t="s">
        <v>48</v>
      </c>
    </row>
    <row r="64" spans="1:18" x14ac:dyDescent="0.2">
      <c r="A64" s="5">
        <v>8</v>
      </c>
      <c r="B64" s="5"/>
      <c r="C64" s="23">
        <v>1</v>
      </c>
      <c r="D64" s="5" t="s">
        <v>49</v>
      </c>
      <c r="E64" s="6">
        <v>1206</v>
      </c>
      <c r="F64" s="5">
        <v>2085199</v>
      </c>
      <c r="G64" s="5" t="s">
        <v>50</v>
      </c>
    </row>
    <row r="65" spans="1:7" x14ac:dyDescent="0.2">
      <c r="A65" s="5">
        <v>9</v>
      </c>
      <c r="B65" s="5"/>
      <c r="C65" s="23">
        <v>46</v>
      </c>
      <c r="D65" s="5" t="s">
        <v>51</v>
      </c>
      <c r="E65" s="6" t="s">
        <v>35</v>
      </c>
      <c r="F65" s="5">
        <v>2362088</v>
      </c>
      <c r="G65" s="5" t="s">
        <v>52</v>
      </c>
    </row>
    <row r="66" spans="1:7" x14ac:dyDescent="0.2">
      <c r="A66" t="s">
        <v>26</v>
      </c>
    </row>
    <row r="69" spans="1:7" x14ac:dyDescent="0.2">
      <c r="A69" s="3" t="s">
        <v>109</v>
      </c>
      <c r="B69" t="s">
        <v>223</v>
      </c>
      <c r="C69" t="s">
        <v>17</v>
      </c>
      <c r="D69" t="s">
        <v>58</v>
      </c>
      <c r="E69" t="s">
        <v>224</v>
      </c>
      <c r="F69" t="s">
        <v>222</v>
      </c>
    </row>
    <row r="70" spans="1:7" x14ac:dyDescent="0.2">
      <c r="A70" s="7" t="s">
        <v>74</v>
      </c>
      <c r="B70" s="2">
        <v>0.96499999999999997</v>
      </c>
      <c r="C70" s="11">
        <v>7.2850000000000001</v>
      </c>
      <c r="D70" s="10">
        <v>1.2103200000000001</v>
      </c>
      <c r="E70">
        <f>C70*B70</f>
        <v>7.0300250000000002</v>
      </c>
      <c r="F70">
        <f>(B70/D70+B71/D71+B72/D72)^-1</f>
        <v>1.180154411260975</v>
      </c>
    </row>
    <row r="71" spans="1:7" x14ac:dyDescent="0.2">
      <c r="A71" s="7" t="s">
        <v>236</v>
      </c>
      <c r="B71" s="2">
        <v>0.03</v>
      </c>
      <c r="C71" s="11">
        <v>10.5</v>
      </c>
      <c r="D71" s="10">
        <v>0.85429999999999995</v>
      </c>
      <c r="E71">
        <f>C71*B71</f>
        <v>0.315</v>
      </c>
    </row>
    <row r="72" spans="1:7" x14ac:dyDescent="0.2">
      <c r="A72" s="7" t="s">
        <v>237</v>
      </c>
      <c r="B72" s="2">
        <v>5.0000000000000001E-3</v>
      </c>
      <c r="C72">
        <v>19.280999999999999</v>
      </c>
      <c r="D72" s="10">
        <v>0.33511000000000002</v>
      </c>
      <c r="E72">
        <f>C72*B72</f>
        <v>9.6404999999999991E-2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G22" sqref="G22"/>
    </sheetView>
  </sheetViews>
  <sheetFormatPr baseColWidth="10" defaultRowHeight="16" x14ac:dyDescent="0.2"/>
  <cols>
    <col min="5" max="6" width="14.33203125" bestFit="1" customWidth="1"/>
    <col min="7" max="7" width="12.1640625" bestFit="1" customWidth="1"/>
    <col min="8" max="8" width="9.33203125" bestFit="1" customWidth="1"/>
    <col min="9" max="9" width="12.1640625" bestFit="1" customWidth="1"/>
    <col min="10" max="10" width="7.1640625" bestFit="1" customWidth="1"/>
    <col min="11" max="11" width="10.5" bestFit="1" customWidth="1"/>
    <col min="12" max="13" width="12.1640625" bestFit="1" customWidth="1"/>
    <col min="14" max="14" width="10.83203125" style="49"/>
  </cols>
  <sheetData>
    <row r="1" spans="1:23" x14ac:dyDescent="0.2">
      <c r="A1" s="3" t="s">
        <v>14</v>
      </c>
      <c r="C1" t="s">
        <v>56</v>
      </c>
      <c r="D1" t="s">
        <v>57</v>
      </c>
      <c r="E1" t="s">
        <v>65</v>
      </c>
      <c r="F1" t="s">
        <v>66</v>
      </c>
      <c r="G1" t="s">
        <v>64</v>
      </c>
      <c r="H1" t="s">
        <v>75</v>
      </c>
      <c r="I1" t="s">
        <v>1</v>
      </c>
      <c r="J1" t="s">
        <v>17</v>
      </c>
      <c r="K1" t="s">
        <v>130</v>
      </c>
      <c r="L1" t="s">
        <v>2</v>
      </c>
      <c r="M1" t="s">
        <v>197</v>
      </c>
      <c r="O1" s="22"/>
      <c r="P1" s="21"/>
      <c r="W1" s="26"/>
    </row>
    <row r="2" spans="1:23" x14ac:dyDescent="0.2">
      <c r="A2" s="3" t="s">
        <v>216</v>
      </c>
      <c r="O2" s="22"/>
      <c r="P2" s="21"/>
      <c r="W2" s="26"/>
    </row>
    <row r="3" spans="1:23" x14ac:dyDescent="0.2">
      <c r="A3" s="7" t="s">
        <v>54</v>
      </c>
      <c r="B3" s="7" t="s">
        <v>63</v>
      </c>
      <c r="C3">
        <f>30/10000</f>
        <v>3.0000000000000001E-3</v>
      </c>
      <c r="D3">
        <f>10/10000</f>
        <v>1E-3</v>
      </c>
      <c r="E3">
        <f>80*5</f>
        <v>400</v>
      </c>
      <c r="F3">
        <v>336</v>
      </c>
      <c r="G3">
        <f>F3*E3*4</f>
        <v>537600</v>
      </c>
      <c r="H3" s="9">
        <v>1</v>
      </c>
      <c r="I3">
        <f>G3*D3*PI()*(C3/2)^2*H3</f>
        <v>3.800070473782214E-3</v>
      </c>
      <c r="J3">
        <v>8.9329999999999998</v>
      </c>
      <c r="K3" s="10">
        <v>1.4399299999999999</v>
      </c>
      <c r="L3">
        <f>I3*J3</f>
        <v>3.3946029542296516E-2</v>
      </c>
      <c r="M3">
        <f>100*I3/'Module X0'!E$4/K3</f>
        <v>1.9369825715949369E-2</v>
      </c>
      <c r="N3" s="49">
        <f>SUM(M3:M5)</f>
        <v>2.9608797481929867E-2</v>
      </c>
      <c r="O3" s="9" t="s">
        <v>211</v>
      </c>
      <c r="P3" s="9"/>
      <c r="W3" s="26"/>
    </row>
    <row r="4" spans="1:23" x14ac:dyDescent="0.2">
      <c r="A4" s="7" t="s">
        <v>55</v>
      </c>
      <c r="B4" s="7" t="s">
        <v>74</v>
      </c>
      <c r="C4">
        <v>3.0000000000000001E-3</v>
      </c>
      <c r="D4">
        <f>8/10000</f>
        <v>8.0000000000000004E-4</v>
      </c>
      <c r="E4">
        <f>E3</f>
        <v>400</v>
      </c>
      <c r="F4">
        <f>F3</f>
        <v>336</v>
      </c>
      <c r="G4">
        <f>F4*E4*4</f>
        <v>537600</v>
      </c>
      <c r="H4" s="9">
        <v>0.96499999999999997</v>
      </c>
      <c r="I4">
        <f>G4*H4*PI()/6*D4*(3*(C4/2)^2+D4^2)</f>
        <v>1.6059041524863283E-3</v>
      </c>
      <c r="J4">
        <v>7.2850000000000001</v>
      </c>
      <c r="K4" s="10">
        <v>1.2103200000000001</v>
      </c>
      <c r="L4">
        <f>I4*J4</f>
        <v>1.1699011750862902E-2</v>
      </c>
      <c r="M4">
        <f>100*I4/'Module X0'!E$4/K4</f>
        <v>9.7385624479610564E-3</v>
      </c>
      <c r="O4" t="s">
        <v>212</v>
      </c>
      <c r="P4" s="9"/>
      <c r="W4" s="26"/>
    </row>
    <row r="5" spans="1:23" x14ac:dyDescent="0.2">
      <c r="B5" s="7" t="s">
        <v>73</v>
      </c>
      <c r="C5">
        <f>C4</f>
        <v>3.0000000000000001E-3</v>
      </c>
      <c r="D5">
        <f>D4</f>
        <v>8.0000000000000004E-4</v>
      </c>
      <c r="E5">
        <f>E4</f>
        <v>400</v>
      </c>
      <c r="F5">
        <f>F4</f>
        <v>336</v>
      </c>
      <c r="G5">
        <f>G4</f>
        <v>537600</v>
      </c>
      <c r="H5" s="9">
        <v>3.5000000000000003E-2</v>
      </c>
      <c r="I5">
        <f>G5*H5*PI()/6*D5*(3*(C5/2)^2+D5^2)</f>
        <v>5.8245228328519688E-5</v>
      </c>
      <c r="J5">
        <v>10.5</v>
      </c>
      <c r="K5" s="10">
        <v>0.85429999999999995</v>
      </c>
      <c r="L5">
        <f>I5*J5</f>
        <v>6.1157489744945669E-4</v>
      </c>
      <c r="M5">
        <f>100*I5/'Module X0'!E$4/K5</f>
        <v>5.0040931801944091E-4</v>
      </c>
      <c r="O5" t="s">
        <v>212</v>
      </c>
      <c r="P5" s="9"/>
      <c r="W5" s="26"/>
    </row>
    <row r="7" spans="1:23" x14ac:dyDescent="0.2">
      <c r="A7" s="3" t="s">
        <v>213</v>
      </c>
    </row>
    <row r="8" spans="1:23" x14ac:dyDescent="0.2">
      <c r="A8" t="s">
        <v>213</v>
      </c>
      <c r="B8" t="s">
        <v>213</v>
      </c>
      <c r="C8">
        <f>25/10000</f>
        <v>2.5000000000000001E-3</v>
      </c>
      <c r="D8">
        <f>25/10000</f>
        <v>2.5000000000000001E-3</v>
      </c>
      <c r="E8">
        <f>E3</f>
        <v>400</v>
      </c>
      <c r="F8">
        <f>F3</f>
        <v>336</v>
      </c>
      <c r="G8">
        <f>G3</f>
        <v>537600</v>
      </c>
      <c r="H8" s="9">
        <v>1</v>
      </c>
      <c r="I8">
        <f>G8*D8*PI()*(C8/2)^2*H8</f>
        <v>6.5973445725385658E-3</v>
      </c>
      <c r="J8">
        <v>7.29</v>
      </c>
      <c r="K8" s="10">
        <v>1.2139</v>
      </c>
      <c r="L8">
        <f>I8*J8</f>
        <v>4.8094641933806144E-2</v>
      </c>
      <c r="M8">
        <f>100*I8/'Module X0'!E$4/K8</f>
        <v>3.9889785252490505E-2</v>
      </c>
      <c r="N8" s="49">
        <f>M8</f>
        <v>3.9889785252490505E-2</v>
      </c>
      <c r="O8" s="9" t="s">
        <v>211</v>
      </c>
    </row>
    <row r="10" spans="1:23" x14ac:dyDescent="0.2">
      <c r="A10" s="3" t="s">
        <v>214</v>
      </c>
    </row>
    <row r="11" spans="1:23" x14ac:dyDescent="0.2">
      <c r="A11" s="7" t="s">
        <v>217</v>
      </c>
      <c r="B11" s="7" t="s">
        <v>74</v>
      </c>
      <c r="C11">
        <f>25/10000</f>
        <v>2.5000000000000001E-3</v>
      </c>
      <c r="E11">
        <f>E3</f>
        <v>400</v>
      </c>
      <c r="F11">
        <f>F3</f>
        <v>336</v>
      </c>
      <c r="G11">
        <f>G3</f>
        <v>537600</v>
      </c>
      <c r="H11" s="9">
        <v>0.96499999999999997</v>
      </c>
      <c r="I11">
        <f>H11*G11*2/3*PI()*(C11/2)^3</f>
        <v>2.1221458374999056E-3</v>
      </c>
      <c r="J11">
        <v>7.2850000000000001</v>
      </c>
      <c r="K11" s="10">
        <v>1.2103200000000001</v>
      </c>
      <c r="L11">
        <f>I11*J11</f>
        <v>1.5459832426186813E-2</v>
      </c>
      <c r="M11">
        <f>100*I11/'Module X0'!E$4/K11</f>
        <v>1.2869167646261124E-2</v>
      </c>
      <c r="N11" s="49">
        <f>SUM(M11:M12)</f>
        <v>1.3530440954283261E-2</v>
      </c>
      <c r="O11" t="s">
        <v>215</v>
      </c>
    </row>
    <row r="12" spans="1:23" x14ac:dyDescent="0.2">
      <c r="B12" s="7" t="s">
        <v>73</v>
      </c>
      <c r="C12">
        <f>25/10000</f>
        <v>2.5000000000000001E-3</v>
      </c>
      <c r="E12">
        <f>E3</f>
        <v>400</v>
      </c>
      <c r="F12">
        <f>F3</f>
        <v>336</v>
      </c>
      <c r="G12">
        <f>G3</f>
        <v>537600</v>
      </c>
      <c r="H12" s="9">
        <v>3.5000000000000003E-2</v>
      </c>
      <c r="I12">
        <f>H12*G12*2/3*PI()*(C12/2)^3</f>
        <v>7.6969020012949944E-5</v>
      </c>
      <c r="J12">
        <v>10.5</v>
      </c>
      <c r="K12" s="10">
        <v>0.85429999999999995</v>
      </c>
      <c r="L12">
        <f>I12*J12</f>
        <v>8.0817471013597438E-4</v>
      </c>
      <c r="M12">
        <f>100*I12/'Module X0'!E$4/K12</f>
        <v>6.6127330802213838E-4</v>
      </c>
      <c r="O12" s="27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O14" sqref="O14"/>
    </sheetView>
  </sheetViews>
  <sheetFormatPr baseColWidth="10" defaultRowHeight="16" x14ac:dyDescent="0.2"/>
  <cols>
    <col min="1" max="1" width="17.83203125" customWidth="1"/>
    <col min="4" max="4" width="15" customWidth="1"/>
  </cols>
  <sheetData>
    <row r="1" spans="1:7" ht="64" x14ac:dyDescent="0.2">
      <c r="A1" s="28" t="s">
        <v>138</v>
      </c>
      <c r="B1" s="28" t="s">
        <v>139</v>
      </c>
      <c r="C1" s="28" t="s">
        <v>140</v>
      </c>
      <c r="D1" s="28" t="s">
        <v>141</v>
      </c>
      <c r="E1" s="28" t="s">
        <v>142</v>
      </c>
      <c r="F1" s="28" t="s">
        <v>143</v>
      </c>
      <c r="G1" s="28" t="s">
        <v>144</v>
      </c>
    </row>
    <row r="2" spans="1:7" x14ac:dyDescent="0.2">
      <c r="A2" s="27" t="s">
        <v>145</v>
      </c>
      <c r="B2" s="1">
        <v>2.5399999999999999E-2</v>
      </c>
      <c r="C2" s="1">
        <v>1.61E-2</v>
      </c>
      <c r="D2" s="1">
        <v>1.5299999999999999E-2</v>
      </c>
      <c r="E2" s="1">
        <f>C2/B2</f>
        <v>0.63385826771653542</v>
      </c>
      <c r="F2" s="1">
        <f>1-E2</f>
        <v>0.36614173228346458</v>
      </c>
      <c r="G2" s="1">
        <f>E2/F2</f>
        <v>1.7311827956989245</v>
      </c>
    </row>
    <row r="3" spans="1:7" x14ac:dyDescent="0.2">
      <c r="A3" t="s">
        <v>146</v>
      </c>
      <c r="B3" s="1">
        <v>4.4699999999999997E-2</v>
      </c>
      <c r="C3" s="1">
        <v>3.1399999999999997E-2</v>
      </c>
      <c r="D3" s="1">
        <v>3.0599999999999999E-2</v>
      </c>
      <c r="E3" s="1">
        <f t="shared" ref="E3:E4" si="0">C3/B3</f>
        <v>0.70246085011185677</v>
      </c>
      <c r="F3" s="1">
        <f t="shared" ref="F3:F4" si="1">1-E3</f>
        <v>0.29753914988814323</v>
      </c>
      <c r="G3" s="1">
        <f t="shared" ref="G3:G4" si="2">E3/F3</f>
        <v>2.3609022556390973</v>
      </c>
    </row>
    <row r="4" spans="1:7" x14ac:dyDescent="0.2">
      <c r="A4" t="s">
        <v>147</v>
      </c>
      <c r="B4" s="1">
        <v>4.2500000000000003E-2</v>
      </c>
      <c r="C4" s="1">
        <v>2.2499999999999999E-2</v>
      </c>
      <c r="D4" s="1">
        <v>1.78E-2</v>
      </c>
      <c r="E4" s="1">
        <f t="shared" si="0"/>
        <v>0.52941176470588225</v>
      </c>
      <c r="F4" s="1">
        <f t="shared" si="1"/>
        <v>0.47058823529411775</v>
      </c>
      <c r="G4" s="1">
        <f t="shared" si="2"/>
        <v>1.1249999999999996</v>
      </c>
    </row>
    <row r="5" spans="1:7" x14ac:dyDescent="0.2">
      <c r="A5" s="39" t="s">
        <v>148</v>
      </c>
      <c r="B5" s="1">
        <v>6.0299999999999999E-2</v>
      </c>
      <c r="C5" s="1">
        <v>4.0300000000000002E-2</v>
      </c>
      <c r="D5" s="1">
        <v>3.56E-2</v>
      </c>
      <c r="E5" s="1">
        <f>C5/B5</f>
        <v>0.66832504145936988</v>
      </c>
      <c r="F5" s="1">
        <f>1-E5</f>
        <v>0.33167495854063012</v>
      </c>
      <c r="G5" s="1">
        <f>E5/F5</f>
        <v>2.0150000000000006</v>
      </c>
    </row>
    <row r="6" spans="1:7" x14ac:dyDescent="0.2">
      <c r="A6" t="s">
        <v>169</v>
      </c>
      <c r="B6" s="7" t="s">
        <v>170</v>
      </c>
    </row>
    <row r="7" spans="1:7" x14ac:dyDescent="0.2">
      <c r="A7" t="s">
        <v>171</v>
      </c>
      <c r="B7" s="7"/>
    </row>
    <row r="8" spans="1:7" x14ac:dyDescent="0.2">
      <c r="A8" t="s">
        <v>172</v>
      </c>
      <c r="B8" s="7"/>
    </row>
    <row r="9" spans="1:7" x14ac:dyDescent="0.2">
      <c r="A9" t="s">
        <v>6</v>
      </c>
      <c r="B9" s="7"/>
    </row>
    <row r="10" spans="1:7" x14ac:dyDescent="0.2">
      <c r="A10" t="s">
        <v>152</v>
      </c>
      <c r="B10" s="29">
        <v>31.844999999999999</v>
      </c>
    </row>
    <row r="11" spans="1:7" x14ac:dyDescent="0.2">
      <c r="A11" t="s">
        <v>174</v>
      </c>
      <c r="B11">
        <v>2</v>
      </c>
    </row>
    <row r="12" spans="1:7" x14ac:dyDescent="0.2">
      <c r="A12" s="27"/>
      <c r="B12" s="27" t="s">
        <v>149</v>
      </c>
      <c r="C12" s="27" t="s">
        <v>63</v>
      </c>
      <c r="D12" s="27" t="s">
        <v>178</v>
      </c>
    </row>
    <row r="13" spans="1:7" x14ac:dyDescent="0.2">
      <c r="A13" s="27" t="s">
        <v>150</v>
      </c>
      <c r="B13" s="40">
        <f>B2-C2</f>
        <v>9.2999999999999992E-3</v>
      </c>
      <c r="C13" s="40">
        <f>C2</f>
        <v>1.61E-2</v>
      </c>
      <c r="D13" s="40">
        <f>C13+B13</f>
        <v>2.5399999999999999E-2</v>
      </c>
    </row>
    <row r="14" spans="1:7" x14ac:dyDescent="0.2">
      <c r="A14" s="27" t="s">
        <v>152</v>
      </c>
      <c r="B14" s="27">
        <v>2</v>
      </c>
      <c r="C14" s="27">
        <v>8.9329999999999998</v>
      </c>
      <c r="D14" s="27">
        <f>D13/D15</f>
        <v>3.9365770592373668</v>
      </c>
    </row>
    <row r="15" spans="1:7" x14ac:dyDescent="0.2">
      <c r="A15" s="27" t="s">
        <v>151</v>
      </c>
      <c r="B15" s="27">
        <f>B13/B14</f>
        <v>4.6499999999999996E-3</v>
      </c>
      <c r="C15" s="27">
        <f>C13/C14</f>
        <v>1.8023060561961268E-3</v>
      </c>
      <c r="D15" s="27">
        <f>C15+B15</f>
        <v>6.4523060561961264E-3</v>
      </c>
    </row>
    <row r="16" spans="1:7" x14ac:dyDescent="0.2">
      <c r="A16" s="27" t="s">
        <v>173</v>
      </c>
      <c r="B16" s="27">
        <v>32</v>
      </c>
      <c r="C16" s="27">
        <v>12.862894689999999</v>
      </c>
      <c r="D16" s="27"/>
    </row>
    <row r="17" spans="1:10" x14ac:dyDescent="0.2">
      <c r="A17" s="27" t="s">
        <v>130</v>
      </c>
      <c r="B17" s="27">
        <f>B16/B14</f>
        <v>16</v>
      </c>
      <c r="C17" s="41">
        <v>1.4399299999999999</v>
      </c>
      <c r="D17" s="27"/>
    </row>
    <row r="18" spans="1:10" x14ac:dyDescent="0.2">
      <c r="A18" s="27"/>
      <c r="B18" s="27"/>
      <c r="C18" s="27"/>
      <c r="D18" s="27"/>
    </row>
    <row r="19" spans="1:10" x14ac:dyDescent="0.2">
      <c r="A19" s="27" t="s">
        <v>175</v>
      </c>
      <c r="B19" s="27"/>
      <c r="C19" s="27"/>
      <c r="D19" s="27"/>
    </row>
    <row r="20" spans="1:10" x14ac:dyDescent="0.2">
      <c r="A20" s="27"/>
      <c r="B20" s="27"/>
      <c r="C20" s="27"/>
      <c r="D20" s="27"/>
      <c r="G20">
        <v>0.7</v>
      </c>
      <c r="H20" t="s">
        <v>126</v>
      </c>
      <c r="J20" t="s">
        <v>154</v>
      </c>
    </row>
    <row r="21" spans="1:10" x14ac:dyDescent="0.2">
      <c r="A21" s="27" t="s">
        <v>177</v>
      </c>
      <c r="B21" s="27">
        <f>1/(F2/B16+E2/C16)</f>
        <v>16.469045975496044</v>
      </c>
      <c r="C21" s="27" t="s">
        <v>176</v>
      </c>
      <c r="D21" s="27"/>
      <c r="G21">
        <v>0.44</v>
      </c>
      <c r="H21" t="s">
        <v>153</v>
      </c>
    </row>
    <row r="22" spans="1:10" x14ac:dyDescent="0.2">
      <c r="A22" s="27" t="s">
        <v>179</v>
      </c>
      <c r="B22" s="27">
        <f>B21/D14</f>
        <v>4.1835954758844718</v>
      </c>
      <c r="C22" s="27" t="s">
        <v>0</v>
      </c>
      <c r="D22" s="27"/>
      <c r="G22">
        <f>G20/G21</f>
        <v>1.5909090909090908</v>
      </c>
      <c r="H22" t="s">
        <v>58</v>
      </c>
    </row>
    <row r="23" spans="1:10" x14ac:dyDescent="0.2">
      <c r="A23" s="27"/>
      <c r="B23" s="27"/>
      <c r="C23" s="27"/>
      <c r="D23" s="27"/>
    </row>
  </sheetData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E34" sqref="E34"/>
    </sheetView>
  </sheetViews>
  <sheetFormatPr baseColWidth="10" defaultRowHeight="16" x14ac:dyDescent="0.2"/>
  <cols>
    <col min="3" max="3" width="13.33203125" bestFit="1" customWidth="1"/>
    <col min="4" max="4" width="15.6640625" bestFit="1" customWidth="1"/>
    <col min="5" max="6" width="15.6640625" customWidth="1"/>
    <col min="7" max="7" width="10.5" bestFit="1" customWidth="1"/>
    <col min="8" max="8" width="12.1640625" bestFit="1" customWidth="1"/>
    <col min="10" max="10" width="12.1640625" bestFit="1" customWidth="1"/>
    <col min="12" max="12" width="19.6640625" bestFit="1" customWidth="1"/>
    <col min="13" max="13" width="12.1640625" bestFit="1" customWidth="1"/>
    <col min="14" max="14" width="11.6640625" bestFit="1" customWidth="1"/>
    <col min="15" max="15" width="18.83203125" bestFit="1" customWidth="1"/>
  </cols>
  <sheetData>
    <row r="1" spans="1:15" x14ac:dyDescent="0.2">
      <c r="A1" t="s">
        <v>129</v>
      </c>
    </row>
    <row r="2" spans="1:15" x14ac:dyDescent="0.2">
      <c r="B2" t="s">
        <v>123</v>
      </c>
      <c r="C2" t="s">
        <v>72</v>
      </c>
      <c r="D2" t="s">
        <v>131</v>
      </c>
      <c r="E2" t="s">
        <v>155</v>
      </c>
      <c r="F2" t="s">
        <v>156</v>
      </c>
      <c r="G2" t="s">
        <v>130</v>
      </c>
      <c r="H2" t="s">
        <v>80</v>
      </c>
      <c r="I2" t="s">
        <v>133</v>
      </c>
      <c r="L2" t="s">
        <v>160</v>
      </c>
      <c r="M2" t="s">
        <v>80</v>
      </c>
      <c r="N2" t="s">
        <v>164</v>
      </c>
      <c r="O2" t="s">
        <v>167</v>
      </c>
    </row>
    <row r="3" spans="1:15" x14ac:dyDescent="0.2">
      <c r="A3" t="s">
        <v>115</v>
      </c>
      <c r="B3" t="s">
        <v>70</v>
      </c>
      <c r="C3">
        <v>0.28999999999999998</v>
      </c>
      <c r="D3">
        <v>0.5</v>
      </c>
      <c r="E3">
        <v>8.9329999999999998</v>
      </c>
      <c r="F3">
        <v>12.862894689999999</v>
      </c>
      <c r="G3" s="10">
        <v>1.4399299999999999</v>
      </c>
      <c r="H3">
        <f>100*C3/10000*(D3/G3+(1-D3)/G4)</f>
        <v>1.1482638553719858E-3</v>
      </c>
      <c r="I3" s="9">
        <f>H3/$H$24</f>
        <v>6.6236972400468578E-3</v>
      </c>
      <c r="L3" t="s">
        <v>165</v>
      </c>
    </row>
    <row r="4" spans="1:15" x14ac:dyDescent="0.2">
      <c r="A4" t="s">
        <v>125</v>
      </c>
      <c r="C4">
        <v>0.35</v>
      </c>
      <c r="D4">
        <v>1</v>
      </c>
      <c r="E4">
        <v>2.6339999999999999</v>
      </c>
      <c r="F4">
        <v>27.045912000000001</v>
      </c>
      <c r="G4">
        <v>10.263999999999999</v>
      </c>
      <c r="H4">
        <f>100*C4/10000/G4</f>
        <v>3.4099766173031958E-4</v>
      </c>
      <c r="I4" s="9">
        <f t="shared" ref="I4:I17" si="0">H4/$H$24</f>
        <v>1.967026359228075E-3</v>
      </c>
      <c r="L4" t="s">
        <v>162</v>
      </c>
      <c r="M4">
        <v>0.17374112999999999</v>
      </c>
      <c r="N4" s="8">
        <f>M4/$M$4</f>
        <v>1</v>
      </c>
      <c r="O4" s="8">
        <f>M4/$M$4</f>
        <v>1</v>
      </c>
    </row>
    <row r="5" spans="1:15" x14ac:dyDescent="0.2">
      <c r="A5" t="s">
        <v>116</v>
      </c>
      <c r="B5" t="s">
        <v>70</v>
      </c>
      <c r="C5">
        <v>0.32</v>
      </c>
      <c r="D5">
        <v>0.5</v>
      </c>
      <c r="E5">
        <v>8.9329999999999998</v>
      </c>
      <c r="F5">
        <v>12.862894689999999</v>
      </c>
      <c r="G5" s="10">
        <v>1.4399299999999999</v>
      </c>
      <c r="H5">
        <f>100*C5/10000*(D5/G5+(1-D5)/G6)</f>
        <v>1.2670497714449499E-3</v>
      </c>
      <c r="I5" s="9">
        <f t="shared" si="0"/>
        <v>7.3089072993620507E-3</v>
      </c>
      <c r="L5" t="s">
        <v>163</v>
      </c>
      <c r="M5">
        <v>0.17935946999999999</v>
      </c>
      <c r="N5" s="8">
        <f t="shared" ref="N5:N6" si="1">M5/$M$4</f>
        <v>1.0323374206211275</v>
      </c>
      <c r="O5" s="8">
        <f>M5/$M$4</f>
        <v>1.0323374206211275</v>
      </c>
    </row>
    <row r="6" spans="1:15" x14ac:dyDescent="0.2">
      <c r="A6" t="s">
        <v>125</v>
      </c>
      <c r="C6">
        <v>0.35</v>
      </c>
      <c r="D6">
        <v>1</v>
      </c>
      <c r="E6">
        <v>2.6339999999999999</v>
      </c>
      <c r="F6">
        <v>27.045912000000001</v>
      </c>
      <c r="G6">
        <v>10.263999999999999</v>
      </c>
      <c r="H6">
        <f>100*C6/10000/G6</f>
        <v>3.4099766173031958E-4</v>
      </c>
      <c r="I6" s="9">
        <f t="shared" si="0"/>
        <v>1.967026359228075E-3</v>
      </c>
      <c r="L6" t="s">
        <v>161</v>
      </c>
      <c r="M6">
        <v>0.19457548</v>
      </c>
      <c r="N6" s="8">
        <f t="shared" si="1"/>
        <v>1.1199160498150322</v>
      </c>
      <c r="O6" s="8">
        <f>M6/$M$4</f>
        <v>1.1199160498150322</v>
      </c>
    </row>
    <row r="7" spans="1:15" x14ac:dyDescent="0.2">
      <c r="A7" t="s">
        <v>117</v>
      </c>
      <c r="B7" t="s">
        <v>70</v>
      </c>
      <c r="C7">
        <v>0.32</v>
      </c>
      <c r="D7">
        <v>0.5</v>
      </c>
      <c r="E7">
        <v>8.9329999999999998</v>
      </c>
      <c r="F7">
        <v>12.862894689999999</v>
      </c>
      <c r="G7" s="10">
        <v>1.4399299999999999</v>
      </c>
      <c r="H7">
        <f>100*C7/10000*(D7/G7+(1-D7)/G8)</f>
        <v>1.2670497714449499E-3</v>
      </c>
      <c r="I7" s="9">
        <f t="shared" si="0"/>
        <v>7.3089072993620507E-3</v>
      </c>
    </row>
    <row r="8" spans="1:15" x14ac:dyDescent="0.2">
      <c r="A8" t="s">
        <v>125</v>
      </c>
      <c r="C8">
        <v>0.35</v>
      </c>
      <c r="D8">
        <v>1</v>
      </c>
      <c r="E8">
        <v>2.6339999999999999</v>
      </c>
      <c r="F8">
        <v>27.045912000000001</v>
      </c>
      <c r="G8">
        <v>10.263999999999999</v>
      </c>
      <c r="H8">
        <f>100*C8/10000/G8</f>
        <v>3.4099766173031958E-4</v>
      </c>
      <c r="I8" s="9">
        <f t="shared" si="0"/>
        <v>1.967026359228075E-3</v>
      </c>
      <c r="L8" t="s">
        <v>166</v>
      </c>
    </row>
    <row r="9" spans="1:15" x14ac:dyDescent="0.2">
      <c r="A9" t="s">
        <v>118</v>
      </c>
      <c r="B9" t="s">
        <v>70</v>
      </c>
      <c r="C9">
        <v>0.32</v>
      </c>
      <c r="D9">
        <v>0.5</v>
      </c>
      <c r="E9">
        <v>8.9329999999999998</v>
      </c>
      <c r="F9">
        <v>12.862894689999999</v>
      </c>
      <c r="G9" s="10">
        <v>1.4399299999999999</v>
      </c>
      <c r="H9">
        <f>100*C9/10000*(D9/G9+(1-D9)/G10)</f>
        <v>1.2670497714449499E-3</v>
      </c>
      <c r="I9" s="9">
        <f t="shared" si="0"/>
        <v>7.3089072993620507E-3</v>
      </c>
      <c r="L9" t="s">
        <v>162</v>
      </c>
      <c r="M9">
        <v>0.12038093</v>
      </c>
      <c r="N9" s="8">
        <f>M9/$M$9</f>
        <v>1</v>
      </c>
      <c r="O9" s="8">
        <f>M9/$M$4</f>
        <v>0.6928752564231625</v>
      </c>
    </row>
    <row r="10" spans="1:15" x14ac:dyDescent="0.2">
      <c r="A10" t="s">
        <v>125</v>
      </c>
      <c r="C10">
        <v>0.65</v>
      </c>
      <c r="D10">
        <v>1</v>
      </c>
      <c r="E10">
        <v>2.6339999999999999</v>
      </c>
      <c r="F10">
        <v>27.045912000000001</v>
      </c>
      <c r="G10">
        <v>10.263999999999999</v>
      </c>
      <c r="H10">
        <f>100*C10/10000/G10</f>
        <v>6.3328137178487922E-4</v>
      </c>
      <c r="I10" s="9">
        <f t="shared" si="0"/>
        <v>3.6530489528521391E-3</v>
      </c>
      <c r="L10" t="s">
        <v>163</v>
      </c>
      <c r="M10">
        <v>0.12599927</v>
      </c>
      <c r="N10" s="8">
        <f t="shared" ref="N10:N11" si="2">M10/$M$9</f>
        <v>1.0466713457023467</v>
      </c>
      <c r="O10" s="8">
        <f>M10/$M$4</f>
        <v>0.72521267704428993</v>
      </c>
    </row>
    <row r="11" spans="1:15" x14ac:dyDescent="0.2">
      <c r="A11" t="s">
        <v>119</v>
      </c>
      <c r="B11" t="s">
        <v>70</v>
      </c>
      <c r="C11">
        <v>0.55000000000000004</v>
      </c>
      <c r="D11">
        <v>0.5</v>
      </c>
      <c r="E11">
        <v>8.9329999999999998</v>
      </c>
      <c r="F11">
        <v>12.862894689999999</v>
      </c>
      <c r="G11" s="10">
        <v>1.4399299999999999</v>
      </c>
      <c r="H11">
        <f>100*C11/10000*(D11/G11+(1-D11)/G12)</f>
        <v>2.1777417946710078E-3</v>
      </c>
      <c r="I11" s="9">
        <f t="shared" si="0"/>
        <v>1.2562184420778525E-2</v>
      </c>
      <c r="L11" t="s">
        <v>161</v>
      </c>
      <c r="M11">
        <v>0.14151527999999999</v>
      </c>
      <c r="N11" s="8">
        <f t="shared" si="2"/>
        <v>1.1755622755198851</v>
      </c>
      <c r="O11" s="8">
        <f>M11/$M$4</f>
        <v>0.8145180130922367</v>
      </c>
    </row>
    <row r="12" spans="1:15" x14ac:dyDescent="0.2">
      <c r="A12" t="s">
        <v>125</v>
      </c>
      <c r="C12">
        <v>1.4</v>
      </c>
      <c r="D12">
        <v>1</v>
      </c>
      <c r="E12">
        <v>2.6339999999999999</v>
      </c>
      <c r="F12">
        <v>27.045912000000001</v>
      </c>
      <c r="G12">
        <v>10.263999999999999</v>
      </c>
      <c r="H12">
        <f>100*C12/10000/G12</f>
        <v>1.3639906469212783E-3</v>
      </c>
      <c r="I12" s="9">
        <f t="shared" si="0"/>
        <v>7.8681054369123E-3</v>
      </c>
    </row>
    <row r="13" spans="1:15" x14ac:dyDescent="0.2">
      <c r="A13" t="s">
        <v>120</v>
      </c>
      <c r="B13" s="11" t="s">
        <v>70</v>
      </c>
      <c r="C13">
        <v>0.46</v>
      </c>
      <c r="D13">
        <v>0.5</v>
      </c>
      <c r="E13">
        <v>8.9329999999999998</v>
      </c>
      <c r="F13">
        <v>12.862894689999999</v>
      </c>
      <c r="G13" s="10">
        <v>1.4399299999999999</v>
      </c>
      <c r="H13">
        <f>100*C13/10000*(D13/G13+(1-D13)/G14)</f>
        <v>1.8213840464521153E-3</v>
      </c>
      <c r="I13" s="9">
        <f t="shared" si="0"/>
        <v>1.0506554242832946E-2</v>
      </c>
      <c r="M13" t="s">
        <v>168</v>
      </c>
      <c r="N13" t="s">
        <v>168</v>
      </c>
    </row>
    <row r="14" spans="1:15" x14ac:dyDescent="0.2">
      <c r="A14" t="s">
        <v>125</v>
      </c>
      <c r="C14">
        <v>4</v>
      </c>
      <c r="D14">
        <v>1</v>
      </c>
      <c r="E14">
        <v>2.6339999999999999</v>
      </c>
      <c r="F14">
        <v>27.045912000000001</v>
      </c>
      <c r="G14">
        <v>10.263999999999999</v>
      </c>
      <c r="H14">
        <f>100*C14/10000/G14</f>
        <v>3.8971161340607954E-3</v>
      </c>
      <c r="I14" s="9">
        <f t="shared" si="0"/>
        <v>2.2480301248320858E-2</v>
      </c>
      <c r="L14" t="s">
        <v>158</v>
      </c>
      <c r="M14">
        <f>G17/G19</f>
        <v>0.9497507011530073</v>
      </c>
      <c r="N14" s="8">
        <f>1/M14</f>
        <v>1.0529078828644081</v>
      </c>
    </row>
    <row r="15" spans="1:15" x14ac:dyDescent="0.2">
      <c r="A15" t="s">
        <v>121</v>
      </c>
      <c r="B15" s="11" t="s">
        <v>70</v>
      </c>
      <c r="C15">
        <v>3</v>
      </c>
      <c r="D15">
        <v>0.45500000000000002</v>
      </c>
      <c r="E15">
        <v>8.9329999999999998</v>
      </c>
      <c r="F15">
        <v>12.862894689999999</v>
      </c>
      <c r="G15" s="10">
        <v>1.4399299999999999</v>
      </c>
      <c r="H15">
        <f>100*C15/10000*(D15/G15+(1-D15)/G16)</f>
        <v>1.1072573701688831E-2</v>
      </c>
      <c r="I15" s="9">
        <f t="shared" si="0"/>
        <v>6.3871535731944137E-2</v>
      </c>
      <c r="L15" t="s">
        <v>159</v>
      </c>
      <c r="M15">
        <f>G15/G19</f>
        <v>0.1536699010061599</v>
      </c>
      <c r="N15" s="8">
        <f>1/M15</f>
        <v>6.5074552235178098</v>
      </c>
    </row>
    <row r="16" spans="1:15" x14ac:dyDescent="0.2">
      <c r="A16" t="s">
        <v>125</v>
      </c>
      <c r="C16">
        <v>4</v>
      </c>
      <c r="D16">
        <v>1</v>
      </c>
      <c r="E16">
        <v>2.6339999999999999</v>
      </c>
      <c r="F16">
        <v>27.045912000000001</v>
      </c>
      <c r="G16">
        <v>10.263999999999999</v>
      </c>
      <c r="H16">
        <f>100*C16/10000/G16</f>
        <v>3.8971161340607954E-3</v>
      </c>
      <c r="I16" s="9">
        <f t="shared" si="0"/>
        <v>2.2480301248320858E-2</v>
      </c>
    </row>
    <row r="17" spans="1:9" x14ac:dyDescent="0.2">
      <c r="A17" t="s">
        <v>122</v>
      </c>
      <c r="B17" t="s">
        <v>124</v>
      </c>
      <c r="C17">
        <v>4</v>
      </c>
      <c r="D17">
        <v>0.45500000000000002</v>
      </c>
      <c r="E17">
        <v>2.698</v>
      </c>
      <c r="F17">
        <v>24.010662140000001</v>
      </c>
      <c r="G17" s="10">
        <v>8.8994300000000006</v>
      </c>
      <c r="H17">
        <f>100*C17/10000*(D17/G17+(1-D17)/G18)</f>
        <v>4.1690030899883294E-3</v>
      </c>
      <c r="I17" s="9">
        <f t="shared" si="0"/>
        <v>2.4048666281459116E-2</v>
      </c>
    </row>
    <row r="18" spans="1:9" x14ac:dyDescent="0.2">
      <c r="E18">
        <v>2.6339999999999999</v>
      </c>
      <c r="F18">
        <v>27.045912000000001</v>
      </c>
      <c r="G18">
        <v>10.263999999999999</v>
      </c>
      <c r="I18" s="9"/>
    </row>
    <row r="19" spans="1:9" x14ac:dyDescent="0.2">
      <c r="A19" t="s">
        <v>132</v>
      </c>
      <c r="B19" t="s">
        <v>60</v>
      </c>
      <c r="C19">
        <f>'Module X0'!F6*10000-SUM(ROIC!C3:C17)</f>
        <v>129.63999999999999</v>
      </c>
      <c r="D19">
        <v>1</v>
      </c>
      <c r="G19" s="10">
        <v>9.3702799999999993</v>
      </c>
      <c r="H19">
        <f>100*C19/10000/G19</f>
        <v>0.13835232244927578</v>
      </c>
      <c r="I19" s="9">
        <f>H19/$H$24</f>
        <v>0.79807780422076191</v>
      </c>
    </row>
    <row r="20" spans="1:9" x14ac:dyDescent="0.2">
      <c r="A20" t="s">
        <v>157</v>
      </c>
      <c r="B20" t="s">
        <v>124</v>
      </c>
      <c r="C20">
        <v>0</v>
      </c>
      <c r="D20">
        <v>1</v>
      </c>
      <c r="E20">
        <v>2.698</v>
      </c>
      <c r="F20">
        <v>24.010662140000001</v>
      </c>
      <c r="G20" s="10">
        <v>1.4399299999999999</v>
      </c>
      <c r="H20">
        <f>100*C20/10000/G20</f>
        <v>0</v>
      </c>
      <c r="I20" s="9">
        <f>H20/$H$24</f>
        <v>0</v>
      </c>
    </row>
    <row r="21" spans="1:9" x14ac:dyDescent="0.2">
      <c r="G21" s="10"/>
      <c r="I21" s="9"/>
    </row>
    <row r="22" spans="1:9" x14ac:dyDescent="0.2">
      <c r="A22" t="s">
        <v>198</v>
      </c>
      <c r="C22">
        <f>'Module X0'!F6*10000</f>
        <v>150</v>
      </c>
      <c r="G22" s="10"/>
      <c r="I22" s="9"/>
    </row>
    <row r="23" spans="1:9" ht="17" thickBot="1" x14ac:dyDescent="0.25"/>
    <row r="24" spans="1:9" x14ac:dyDescent="0.2">
      <c r="G24" s="30" t="s">
        <v>136</v>
      </c>
      <c r="H24" s="44">
        <f>SUM(H3:H20)</f>
        <v>0.1733569355238016</v>
      </c>
    </row>
    <row r="25" spans="1:9" x14ac:dyDescent="0.2">
      <c r="G25" s="45" t="s">
        <v>135</v>
      </c>
      <c r="H25" s="46">
        <f>C22/H24/100</f>
        <v>8.6526679504786959</v>
      </c>
    </row>
    <row r="26" spans="1:9" ht="17" thickBot="1" x14ac:dyDescent="0.25">
      <c r="G26" s="47" t="s">
        <v>134</v>
      </c>
      <c r="H26" s="48">
        <f>(C19)/H19/100</f>
        <v>9.3702800000000011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Module X0</vt:lpstr>
      <vt:lpstr>Bumps</vt:lpstr>
      <vt:lpstr>Connector</vt:lpstr>
      <vt:lpstr>ROIC</vt:lpstr>
    </vt:vector>
  </TitlesOfParts>
  <Company>University of Glasgow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Bates</dc:creator>
  <cp:lastModifiedBy>Microsoft Office User</cp:lastModifiedBy>
  <dcterms:created xsi:type="dcterms:W3CDTF">2015-08-25T13:59:46Z</dcterms:created>
  <dcterms:modified xsi:type="dcterms:W3CDTF">2017-02-27T14:28:15Z</dcterms:modified>
</cp:coreProperties>
</file>